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4470" tabRatio="843" activeTab="0"/>
  </bookViews>
  <sheets>
    <sheet name="riepilogo" sheetId="1" r:id="rId1"/>
    <sheet name="ab)personale" sheetId="2" r:id="rId2"/>
    <sheet name="diario1" sheetId="3" r:id="rId3"/>
    <sheet name="diario2" sheetId="4" r:id="rId4"/>
    <sheet name="c)spesegenerali" sheetId="5" r:id="rId5"/>
    <sheet name="d)terzi" sheetId="6" r:id="rId6"/>
    <sheet name="e)immateriali" sheetId="7" r:id="rId7"/>
    <sheet name="f)strumenti" sheetId="8" r:id="rId8"/>
    <sheet name="g)materiali" sheetId="9" r:id="rId9"/>
    <sheet name="i)industrializzazione" sheetId="10" r:id="rId10"/>
    <sheet name="h)certificazione" sheetId="11" r:id="rId11"/>
  </sheets>
  <externalReferences>
    <externalReference r:id="rId14"/>
  </externalReferences>
  <definedNames>
    <definedName name="_xlnm.Print_Area" localSheetId="1">'ab)personale'!$A:$J</definedName>
    <definedName name="_xlnm.Print_Area" localSheetId="5">'d)terzi'!$A:$N</definedName>
    <definedName name="_xlnm.Print_Area" localSheetId="2">'diario1'!$A$1:$V$5</definedName>
    <definedName name="_xlnm.Print_Area" localSheetId="3">'diario2'!$A$1:$V$5</definedName>
    <definedName name="_xlnm.Print_Area" localSheetId="6">'e)immateriali'!$A:$S</definedName>
    <definedName name="_xlnm.Print_Area" localSheetId="7">'f)strumenti'!$A:$S</definedName>
    <definedName name="_xlnm.Print_Area" localSheetId="8">'g)materiali'!$A:$N</definedName>
    <definedName name="_xlnm.Print_Area" localSheetId="10">'h)certificazione'!$A:$N</definedName>
    <definedName name="_xlnm.Print_Area" localSheetId="9">'i)industrializzazione'!$A:$M</definedName>
    <definedName name="_xlnm.Print_Area" localSheetId="0">'riepilogo'!$A$1:$F$44</definedName>
    <definedName name="datafineprogetto">'riepilogo'!$C$6</definedName>
    <definedName name="datafinericerca">'riepilogo'!$D$6</definedName>
    <definedName name="datafinesviluppo">'riepilogo'!$E$6</definedName>
    <definedName name="datainizioprogetto">'riepilogo'!$C$5</definedName>
    <definedName name="datainizioricerca">'riepilogo'!$D$5</definedName>
    <definedName name="datainiziosviluppo">'riepilogo'!$E$5</definedName>
    <definedName name="generalimassimo" localSheetId="1">'[1]b1)spesegenerali'!#REF!</definedName>
    <definedName name="generalimassimo" localSheetId="5">'[1]b1)spesegenerali'!#REF!</definedName>
    <definedName name="generalimassimo" localSheetId="6">'[1]b1)spesegenerali'!#REF!</definedName>
    <definedName name="generalimassimo" localSheetId="7">'[1]b1)spesegenerali'!#REF!</definedName>
    <definedName name="generalimassimo" localSheetId="10">'[1]b1)spesegenerali'!#REF!</definedName>
    <definedName name="generalimassimo" localSheetId="9">'[1]b1)spesegenerali'!#REF!</definedName>
    <definedName name="materiali">'g)materiali'!$K$20</definedName>
    <definedName name="materiali2">#REF!</definedName>
    <definedName name="materialiammessi">'g)materiali'!$U$20</definedName>
    <definedName name="materialiammessi2">#REF!</definedName>
    <definedName name="opzioni" localSheetId="0">'riepilogo'!$B$31:$E$32</definedName>
    <definedName name="ore">'ab)personale'!$G$31</definedName>
    <definedName name="oreammesse">'ab)personale'!$U$31</definedName>
    <definedName name="oreoperai">'ab)personale'!$G$45</definedName>
    <definedName name="oreoperaiammesse">'ab)personale'!$U$45</definedName>
    <definedName name="percentuale">'c)spesegenerali'!$J$7</definedName>
    <definedName name="percentualeammessa">'c)spesegenerali'!$Q$7</definedName>
    <definedName name="prelievi">'g)materiali'!$K$28</definedName>
    <definedName name="prelievi2">#REF!</definedName>
    <definedName name="prelieviammessi">'g)materiali'!$U$28</definedName>
    <definedName name="prelieviammessi2">#REF!</definedName>
    <definedName name="pswattiva">'riepilogo'!$A$7</definedName>
    <definedName name="RespRicerca" localSheetId="1">'ab)personale'!#REF!</definedName>
    <definedName name="scelta" localSheetId="0">'riepilogo'!$A$4</definedName>
    <definedName name="sceltaspecifica">'riepilogo'!$A$5</definedName>
    <definedName name="tariffe">'riepilogo'!$B$46:$B$49</definedName>
    <definedName name="tipopagamento">'riepilogo'!$A$46:$A$53</definedName>
    <definedName name="_xlnm.Print_Titles" localSheetId="1">'ab)personale'!$2:$3</definedName>
    <definedName name="_xlnm.Print_Titles" localSheetId="4">'c)spesegenerali'!$1:$2</definedName>
    <definedName name="_xlnm.Print_Titles" localSheetId="5">'d)terzi'!$1:$7</definedName>
    <definedName name="_xlnm.Print_Titles" localSheetId="2">'diario1'!$A:$B,'diario1'!$1:$5</definedName>
    <definedName name="_xlnm.Print_Titles" localSheetId="3">'diario2'!$A:$B,'diario2'!$1:$5</definedName>
    <definedName name="_xlnm.Print_Titles" localSheetId="6">'e)immateriali'!$1:$7</definedName>
    <definedName name="_xlnm.Print_Titles" localSheetId="7">'f)strumenti'!$1:$7</definedName>
    <definedName name="_xlnm.Print_Titles" localSheetId="8">'g)materiali'!$1:$2</definedName>
    <definedName name="_xlnm.Print_Titles" localSheetId="10">'h)certificazione'!$1:$7</definedName>
    <definedName name="_xlnm.Print_Titles" localSheetId="9">'i)industrializzazione'!$1:$2</definedName>
    <definedName name="titoloriepilogo1">'riepilogo'!$B$2</definedName>
    <definedName name="titoloriepilogo2">'riepilogo'!$C$22</definedName>
  </definedNames>
  <calcPr fullCalcOnLoad="1"/>
</workbook>
</file>

<file path=xl/sharedStrings.xml><?xml version="1.0" encoding="utf-8"?>
<sst xmlns="http://schemas.openxmlformats.org/spreadsheetml/2006/main" count="513" uniqueCount="182">
  <si>
    <t>ore</t>
  </si>
  <si>
    <t>costo totale</t>
  </si>
  <si>
    <t>cognome e nome</t>
  </si>
  <si>
    <t>voce di spesa</t>
  </si>
  <si>
    <t>spese operative</t>
  </si>
  <si>
    <t>spese di investimento</t>
  </si>
  <si>
    <t>b) SPESE GENERALI</t>
  </si>
  <si>
    <t>d) PRESTAZIONI DI TERZI</t>
  </si>
  <si>
    <t>e) BENI IMMATERIALI</t>
  </si>
  <si>
    <t>f) STRUMENTI E ATTREZZATURE</t>
  </si>
  <si>
    <t>g) MATERIALI</t>
  </si>
  <si>
    <t>Dettaglio spese relative al progetto</t>
  </si>
  <si>
    <t>RICERCATORI</t>
  </si>
  <si>
    <t>TOTALE</t>
  </si>
  <si>
    <t>a) costo del personale di ricerca</t>
  </si>
  <si>
    <t>d) prestazioni di terzi</t>
  </si>
  <si>
    <t>h) recuperi (in detrazione alle spese)</t>
  </si>
  <si>
    <t>f) strumenti e attrezzature</t>
  </si>
  <si>
    <t>n.</t>
  </si>
  <si>
    <t>e) beni immateriali</t>
  </si>
  <si>
    <t>L</t>
  </si>
  <si>
    <t>a)  PERSONALE DI RICERCA</t>
  </si>
  <si>
    <t>data inizio rapporto</t>
  </si>
  <si>
    <t>RESPONSABILE RICERCA</t>
  </si>
  <si>
    <t xml:space="preserve"> ricercatori</t>
  </si>
  <si>
    <t>manodopera</t>
  </si>
  <si>
    <t>________________________________________
firma del legale rappresentante
e timbro dell'impresa</t>
  </si>
  <si>
    <t xml:space="preserve">________________________________________
            firma del responsabile della ricerca
</t>
  </si>
  <si>
    <t>imputabile al progetto</t>
  </si>
  <si>
    <t>impiegato</t>
  </si>
  <si>
    <t>% forfait</t>
  </si>
  <si>
    <t>diario</t>
  </si>
  <si>
    <t>elenco</t>
  </si>
  <si>
    <t xml:space="preserve"> totale spese operative</t>
  </si>
  <si>
    <t xml:space="preserve"> totale spese investimento</t>
  </si>
  <si>
    <t>tariffa forfait</t>
  </si>
  <si>
    <t>.</t>
  </si>
  <si>
    <t>g) materiali</t>
  </si>
  <si>
    <t>QUADRO RIEPILOGATIVO DELLA SPESA</t>
  </si>
  <si>
    <t>programma di industrializzazione</t>
  </si>
  <si>
    <t>acquisto macchinari, impianti e attrezzature</t>
  </si>
  <si>
    <t>modifiche macchinari, impianti e attrezzature</t>
  </si>
  <si>
    <t>acquisto software</t>
  </si>
  <si>
    <t>opere edili e di impiantistica generale</t>
  </si>
  <si>
    <t>costi progettazione, direzione e collaudo</t>
  </si>
  <si>
    <t>spese complessive di industrializzazione</t>
  </si>
  <si>
    <t>certificazione della spesa</t>
  </si>
  <si>
    <t>c</t>
  </si>
  <si>
    <t>industrializzazione</t>
  </si>
  <si>
    <t>a</t>
  </si>
  <si>
    <t>b</t>
  </si>
  <si>
    <t>d</t>
  </si>
  <si>
    <t>e</t>
  </si>
  <si>
    <t>spese complessive</t>
  </si>
  <si>
    <t>fattura</t>
  </si>
  <si>
    <t>nr</t>
  </si>
  <si>
    <t>descrizione del bene</t>
  </si>
  <si>
    <t>data</t>
  </si>
  <si>
    <t>pagamento</t>
  </si>
  <si>
    <t>note</t>
  </si>
  <si>
    <t>calcolo imputabilità</t>
  </si>
  <si>
    <t>utilizzo in gg</t>
  </si>
  <si>
    <t>importo</t>
  </si>
  <si>
    <t>q,tà</t>
  </si>
  <si>
    <t>prelievi di magazzino</t>
  </si>
  <si>
    <t>buono prelievo magazzino</t>
  </si>
  <si>
    <t>ACQUISTO MACCHINARI, IMPIANTI, ATTREZZATURE</t>
  </si>
  <si>
    <t>i) INDUSTRIALIZZAZIONE</t>
  </si>
  <si>
    <t>imputabilità</t>
  </si>
  <si>
    <t>MODIFICHE MACCHINARI, IMPIANTI, ATTREZZATURE</t>
  </si>
  <si>
    <t>ACQUISTO DI SOFTWARE</t>
  </si>
  <si>
    <t>OPERE EDILI E DI IMPIANTISTICA GENERALE</t>
  </si>
  <si>
    <t>PROGETTAZIONE, DIREZIONE E COLLAUDO</t>
  </si>
  <si>
    <t>costo unitario senza IVA</t>
  </si>
  <si>
    <t>materiali</t>
  </si>
  <si>
    <t>IN ALTERNATIVA</t>
  </si>
  <si>
    <t>MANODOPERA</t>
  </si>
  <si>
    <t>personale</t>
  </si>
  <si>
    <t>totale</t>
  </si>
  <si>
    <t>monitoraggio gg/uomo</t>
  </si>
  <si>
    <t>rendicontazione industrializzazione - elenco i)</t>
  </si>
  <si>
    <t>----</t>
  </si>
  <si>
    <t>eventuale recupero</t>
  </si>
  <si>
    <t>quota amm.to imputabile al progetto</t>
  </si>
  <si>
    <t>netto imputabile al progetto</t>
  </si>
  <si>
    <t>al netto eventuale amm.to non imputabile</t>
  </si>
  <si>
    <t>calcolo forfait imputabile al progetto</t>
  </si>
  <si>
    <t>riservato all'Amministrazione</t>
  </si>
  <si>
    <t>controllo doc</t>
  </si>
  <si>
    <t>controllo loco</t>
  </si>
  <si>
    <t>c) spese generali</t>
  </si>
  <si>
    <t>b) prestazioni interne</t>
  </si>
  <si>
    <t>b)  PRESTAZIONI INTERNE</t>
  </si>
  <si>
    <t>costo imputabile al progetto</t>
  </si>
  <si>
    <r>
      <t>costo</t>
    </r>
    <r>
      <rPr>
        <vertAlign val="superscript"/>
        <sz val="7"/>
        <color indexed="23"/>
        <rFont val="Verdana"/>
        <family val="2"/>
      </rPr>
      <t xml:space="preserve"> </t>
    </r>
    <r>
      <rPr>
        <sz val="7"/>
        <color indexed="23"/>
        <rFont val="Verdana"/>
        <family val="2"/>
      </rPr>
      <t>imputabile al progetto</t>
    </r>
  </si>
  <si>
    <t>ore campione</t>
  </si>
  <si>
    <t>valore campione</t>
  </si>
  <si>
    <t>ore tot ammesse</t>
  </si>
  <si>
    <t>costo tot ammesso</t>
  </si>
  <si>
    <t>cntrll doc</t>
  </si>
  <si>
    <t>cntrll loco</t>
  </si>
  <si>
    <t>imputabile al progetto dopo controllo documentale</t>
  </si>
  <si>
    <t>imputab. dopo cntrll doc</t>
  </si>
  <si>
    <t>imputab. dopo cntrll document.</t>
  </si>
  <si>
    <t>F24</t>
  </si>
  <si>
    <t>contanti</t>
  </si>
  <si>
    <t>assegno</t>
  </si>
  <si>
    <t>bancomat</t>
  </si>
  <si>
    <t>carta credito</t>
  </si>
  <si>
    <t>dati del fornitore (identità e sede)</t>
  </si>
  <si>
    <t>descrizione della prestazione</t>
  </si>
  <si>
    <t>totale
con IVA</t>
  </si>
  <si>
    <t>costo senza IVA imputabile al progetto</t>
  </si>
  <si>
    <t>costo
senza IVA imputabile al progetto</t>
  </si>
  <si>
    <r>
      <t>costo senza IVA</t>
    </r>
    <r>
      <rPr>
        <b/>
        <vertAlign val="superscript"/>
        <sz val="7"/>
        <rFont val="Verdana"/>
        <family val="2"/>
      </rPr>
      <t xml:space="preserve"> </t>
    </r>
    <r>
      <rPr>
        <b/>
        <sz val="7"/>
        <rFont val="Verdana"/>
        <family val="2"/>
      </rPr>
      <t>imputabile al progetto</t>
    </r>
  </si>
  <si>
    <r>
      <t>data fine rapporto</t>
    </r>
    <r>
      <rPr>
        <b/>
        <vertAlign val="superscript"/>
        <sz val="7"/>
        <rFont val="Verdana"/>
        <family val="2"/>
      </rPr>
      <t>1</t>
    </r>
  </si>
  <si>
    <t>descrizione del bene/servizio</t>
  </si>
  <si>
    <t>dati del fornitore
(identità e sede)</t>
  </si>
  <si>
    <t>bonifico bancario</t>
  </si>
  <si>
    <t>ricevuta bancaria</t>
  </si>
  <si>
    <t>bonifico postale</t>
  </si>
  <si>
    <r>
      <t>tipo</t>
    </r>
    <r>
      <rPr>
        <b/>
        <vertAlign val="superscript"/>
        <sz val="7"/>
        <rFont val="Verdana"/>
        <family val="2"/>
      </rPr>
      <t>1</t>
    </r>
    <r>
      <rPr>
        <b/>
        <sz val="7"/>
        <rFont val="Verdana"/>
        <family val="2"/>
      </rPr>
      <t xml:space="preserve"> pagamento</t>
    </r>
  </si>
  <si>
    <r>
      <t>data</t>
    </r>
    <r>
      <rPr>
        <b/>
        <vertAlign val="superscript"/>
        <sz val="7"/>
        <rFont val="Verdana"/>
        <family val="2"/>
      </rPr>
      <t>2</t>
    </r>
    <r>
      <rPr>
        <b/>
        <sz val="7"/>
        <rFont val="Verdana"/>
        <family val="2"/>
      </rPr>
      <t xml:space="preserve"> effettivo pagamento</t>
    </r>
  </si>
  <si>
    <t>quota imputabile al progetto</t>
  </si>
  <si>
    <t>le celle con fondo verde contengono formule ma possono essere sovrascritte</t>
  </si>
  <si>
    <t>esiti calcolo imputabilità</t>
  </si>
  <si>
    <r>
      <t>data</t>
    </r>
    <r>
      <rPr>
        <sz val="7"/>
        <color indexed="23"/>
        <rFont val="Verdana"/>
        <family val="2"/>
      </rPr>
      <t xml:space="preserve"> inizio utilizzo</t>
    </r>
  </si>
  <si>
    <r>
      <t>data</t>
    </r>
    <r>
      <rPr>
        <sz val="7"/>
        <color indexed="23"/>
        <rFont val="Verdana"/>
        <family val="2"/>
      </rPr>
      <t xml:space="preserve">
fine utilizzo</t>
    </r>
  </si>
  <si>
    <t>A</t>
  </si>
  <si>
    <t>progetto di ricerca e sviluppo</t>
  </si>
  <si>
    <t>inizio e fine progetto</t>
  </si>
  <si>
    <t>inserire in questa cella il "tipo progetto"</t>
  </si>
  <si>
    <t>totale progetto</t>
  </si>
  <si>
    <r>
      <t>pagamento</t>
    </r>
    <r>
      <rPr>
        <b/>
        <vertAlign val="superscript"/>
        <sz val="7"/>
        <rFont val="Verdana"/>
        <family val="2"/>
      </rPr>
      <t>1</t>
    </r>
  </si>
  <si>
    <r>
      <t>tipo</t>
    </r>
    <r>
      <rPr>
        <b/>
        <sz val="7"/>
        <rFont val="Verdana"/>
        <family val="2"/>
      </rPr>
      <t xml:space="preserve"> pagamento</t>
    </r>
  </si>
  <si>
    <r>
      <t>data</t>
    </r>
    <r>
      <rPr>
        <b/>
        <sz val="7"/>
        <rFont val="Verdana"/>
        <family val="2"/>
      </rPr>
      <t xml:space="preserve"> effettivo pagamento</t>
    </r>
  </si>
  <si>
    <r>
      <t>calcolo imputabilità</t>
    </r>
    <r>
      <rPr>
        <b/>
        <vertAlign val="superscript"/>
        <sz val="7"/>
        <rFont val="Verdana"/>
        <family val="2"/>
      </rPr>
      <t>2</t>
    </r>
  </si>
  <si>
    <r>
      <t>data</t>
    </r>
    <r>
      <rPr>
        <b/>
        <sz val="7"/>
        <rFont val="Verdana"/>
        <family val="2"/>
      </rPr>
      <t xml:space="preserve"> inizio utilizzo</t>
    </r>
  </si>
  <si>
    <r>
      <t>data</t>
    </r>
    <r>
      <rPr>
        <b/>
        <sz val="7"/>
        <rFont val="Verdana"/>
        <family val="2"/>
      </rPr>
      <t xml:space="preserve">
fine utilizzo</t>
    </r>
  </si>
  <si>
    <r>
      <t xml:space="preserve"> </t>
    </r>
    <r>
      <rPr>
        <b/>
        <sz val="7"/>
        <rFont val="Verdana"/>
        <family val="2"/>
      </rPr>
      <t>L</t>
    </r>
  </si>
  <si>
    <r>
      <t xml:space="preserve"> </t>
    </r>
    <r>
      <rPr>
        <b/>
        <sz val="7"/>
        <rFont val="Verdana"/>
        <family val="2"/>
      </rPr>
      <t>A</t>
    </r>
  </si>
  <si>
    <t xml:space="preserve"> R/S</t>
  </si>
  <si>
    <t>fine</t>
  </si>
  <si>
    <t>terzi</t>
  </si>
  <si>
    <t>rendicontazione - elenchi a) e b)</t>
  </si>
  <si>
    <t>rendicontazione - elenco c)</t>
  </si>
  <si>
    <t>rendicontazione - elenco d)</t>
  </si>
  <si>
    <t>rendicontazione - elenco e)</t>
  </si>
  <si>
    <t>rendicontazione - elenco f)</t>
  </si>
  <si>
    <t>rendicontazione - elenco g)</t>
  </si>
  <si>
    <t>compreso responsabile</t>
  </si>
  <si>
    <t>percentuale spese generali RICERCA su spese del personale RICERCA</t>
  </si>
  <si>
    <t>percentuale spese generali SVILUPPO su spese del personale SVILUPPO</t>
  </si>
  <si>
    <t>progetto di innovazione</t>
  </si>
  <si>
    <r>
      <t xml:space="preserve">NB per inserire righe cliccare sull'icona della barra rendiconto
1= </t>
    </r>
    <r>
      <rPr>
        <u val="single"/>
        <sz val="7"/>
        <rFont val="Verdana"/>
        <family val="2"/>
      </rPr>
      <t>data fine rapporto</t>
    </r>
    <r>
      <rPr>
        <sz val="7"/>
        <rFont val="Verdana"/>
        <family val="2"/>
      </rPr>
      <t xml:space="preserve">: eventuale
2= </t>
    </r>
    <r>
      <rPr>
        <u val="single"/>
        <sz val="7"/>
        <rFont val="Verdana"/>
        <family val="2"/>
      </rPr>
      <t>R/S o P/O</t>
    </r>
    <r>
      <rPr>
        <sz val="7"/>
        <rFont val="Verdana"/>
        <family val="2"/>
      </rPr>
      <t>: R=Ricerca S=Sviluppo P=inn.processi O=inn.organizzaz.</t>
    </r>
  </si>
  <si>
    <r>
      <t xml:space="preserve">NB per inserire righe cliccare sull'icona della barra rendiconto
1= </t>
    </r>
    <r>
      <rPr>
        <u val="single"/>
        <sz val="7"/>
        <rFont val="Verdana"/>
        <family val="2"/>
      </rPr>
      <t>tipo pagamento</t>
    </r>
    <r>
      <rPr>
        <sz val="7"/>
        <rFont val="Verdana"/>
        <family val="2"/>
      </rPr>
      <t xml:space="preserve">: contanti, assegni, bancomat, carta di credito ammessi solo per pagamenti inferiorI ad euro 500
     </t>
    </r>
    <r>
      <rPr>
        <u val="single"/>
        <sz val="7"/>
        <rFont val="Verdana"/>
        <family val="2"/>
      </rPr>
      <t>data effettivo pagamento</t>
    </r>
    <r>
      <rPr>
        <sz val="7"/>
        <rFont val="Verdana"/>
        <family val="2"/>
      </rPr>
      <t xml:space="preserve">: indicare la data di effettivo pagamento (che corrisponde, laddove possibile, con la data valuta)
2= </t>
    </r>
    <r>
      <rPr>
        <u val="single"/>
        <sz val="7"/>
        <rFont val="Verdana"/>
        <family val="2"/>
      </rPr>
      <t>R/S o P/O</t>
    </r>
    <r>
      <rPr>
        <sz val="7"/>
        <rFont val="Verdana"/>
        <family val="2"/>
      </rPr>
      <t>: indicare R per Ricerca, S per Sviluppo, P per innovaz. processi, O per innovaz. organizzaz.</t>
    </r>
  </si>
  <si>
    <r>
      <t xml:space="preserve">1= </t>
    </r>
    <r>
      <rPr>
        <u val="single"/>
        <sz val="7"/>
        <rFont val="Verdana"/>
        <family val="2"/>
      </rPr>
      <t>tipo pagamento</t>
    </r>
    <r>
      <rPr>
        <sz val="7"/>
        <rFont val="Verdana"/>
        <family val="2"/>
      </rPr>
      <t xml:space="preserve">: contanti, assegni, bancomat, carta di credito sono ammessi solo per pagamenti di importo inferiore ad euro 500
     </t>
    </r>
    <r>
      <rPr>
        <u val="single"/>
        <sz val="7"/>
        <rFont val="Verdana"/>
        <family val="2"/>
      </rPr>
      <t>data effettivo pagamento</t>
    </r>
    <r>
      <rPr>
        <sz val="7"/>
        <rFont val="Verdana"/>
        <family val="2"/>
      </rPr>
      <t xml:space="preserve">: indicare la data di effettivo pagamento (che corrisponde, laddove possibile, con la data valuta)
2= </t>
    </r>
    <r>
      <rPr>
        <u val="single"/>
        <sz val="7"/>
        <rFont val="Verdana"/>
        <family val="2"/>
      </rPr>
      <t>R/S o P/O</t>
    </r>
    <r>
      <rPr>
        <sz val="7"/>
        <rFont val="Verdana"/>
        <family val="2"/>
      </rPr>
      <t>: indicare R per Ricerca, S per Sviluppo, P per innovaz. processi, O per innovaz. organizzaz.</t>
    </r>
  </si>
  <si>
    <r>
      <t xml:space="preserve">1= </t>
    </r>
    <r>
      <rPr>
        <u val="single"/>
        <sz val="7"/>
        <rFont val="Verdana"/>
        <family val="2"/>
      </rPr>
      <t>tipo pagamento</t>
    </r>
    <r>
      <rPr>
        <sz val="7"/>
        <rFont val="Verdana"/>
        <family val="2"/>
      </rPr>
      <t xml:space="preserve">: contanti, assegni, bancomat, carta di credito sono ammessi solo per pagamenti di importo inferiore ad euro 500
     </t>
    </r>
    <r>
      <rPr>
        <u val="single"/>
        <sz val="7"/>
        <rFont val="Verdana"/>
        <family val="2"/>
      </rPr>
      <t>data effettivo pagamento</t>
    </r>
    <r>
      <rPr>
        <sz val="7"/>
        <rFont val="Verdana"/>
        <family val="2"/>
      </rPr>
      <t xml:space="preserve">: indicare la data di effettivo pagamento (che corrisponde, laddove possibile, con la data valuta)
2= </t>
    </r>
    <r>
      <rPr>
        <u val="single"/>
        <sz val="7"/>
        <rFont val="Verdana"/>
        <family val="2"/>
      </rPr>
      <t>R/S o P/O</t>
    </r>
    <r>
      <rPr>
        <sz val="7"/>
        <rFont val="Verdana"/>
        <family val="2"/>
      </rPr>
      <t xml:space="preserve">: indicare R per Ricerca, S per Sviluppo, P per innovaz. processi, O per innovaz. organizzaz.
     </t>
    </r>
    <r>
      <rPr>
        <u val="single"/>
        <sz val="7"/>
        <rFont val="Verdana"/>
        <family val="2"/>
      </rPr>
      <t>date inizio e fine utilizzo</t>
    </r>
    <r>
      <rPr>
        <sz val="7"/>
        <rFont val="Verdana"/>
        <family val="2"/>
      </rPr>
      <t xml:space="preserve"> comprese tra la </t>
    </r>
    <r>
      <rPr>
        <u val="single"/>
        <sz val="7"/>
        <rFont val="Verdana"/>
        <family val="2"/>
      </rPr>
      <t>data acquisto</t>
    </r>
    <r>
      <rPr>
        <sz val="7"/>
        <rFont val="Verdana"/>
        <family val="2"/>
      </rPr>
      <t xml:space="preserve"> e la </t>
    </r>
    <r>
      <rPr>
        <u val="single"/>
        <sz val="7"/>
        <rFont val="Verdana"/>
        <family val="2"/>
      </rPr>
      <t>data di conclusione</t>
    </r>
    <r>
      <rPr>
        <sz val="7"/>
        <rFont val="Verdana"/>
        <family val="2"/>
      </rPr>
      <t xml:space="preserve"> della tipologia di attività nell'ambito della quale la spesa viene ammessa a contributo (es.Ricerca)
     </t>
    </r>
    <r>
      <rPr>
        <u val="single"/>
        <sz val="7"/>
        <rFont val="Verdana"/>
        <family val="2"/>
      </rPr>
      <t>A</t>
    </r>
    <r>
      <rPr>
        <sz val="7"/>
        <rFont val="Verdana"/>
        <family val="2"/>
      </rPr>
      <t>: digitare "no" per disattivare il calcolo della quota di ammortamento, nei casi in cui tutta la spesa è imputabile al progetto</t>
    </r>
  </si>
  <si>
    <r>
      <t xml:space="preserve">1= </t>
    </r>
    <r>
      <rPr>
        <u val="single"/>
        <sz val="7"/>
        <rFont val="Verdana"/>
        <family val="2"/>
      </rPr>
      <t>tipo pagamento</t>
    </r>
    <r>
      <rPr>
        <sz val="7"/>
        <rFont val="Verdana"/>
        <family val="2"/>
      </rPr>
      <t xml:space="preserve">: contanti, assegni, bancomat, carta di credito sono ammessi solo per pagamenti di importo inferiore ad euro 500
     </t>
    </r>
    <r>
      <rPr>
        <u val="single"/>
        <sz val="7"/>
        <rFont val="Verdana"/>
        <family val="2"/>
      </rPr>
      <t>data effettivo pagamento</t>
    </r>
    <r>
      <rPr>
        <sz val="7"/>
        <rFont val="Verdana"/>
        <family val="2"/>
      </rPr>
      <t xml:space="preserve">: indicare la data di effettivo pagamento (che corrisponde, laddove possibile, con la data valuta)
2= </t>
    </r>
    <r>
      <rPr>
        <u val="single"/>
        <sz val="7"/>
        <rFont val="Verdana"/>
        <family val="2"/>
      </rPr>
      <t>R/S o P/O</t>
    </r>
    <r>
      <rPr>
        <sz val="7"/>
        <rFont val="Verdana"/>
        <family val="2"/>
      </rPr>
      <t xml:space="preserve">: indicare R per Ricerca, S per Sviluppo, P per innovaz. processi, O per innovaz. organizzaz.
     </t>
    </r>
    <r>
      <rPr>
        <u val="single"/>
        <sz val="7"/>
        <rFont val="Verdana"/>
        <family val="2"/>
      </rPr>
      <t>date inizio e fine utilizzo</t>
    </r>
    <r>
      <rPr>
        <sz val="7"/>
        <rFont val="Verdana"/>
        <family val="2"/>
      </rPr>
      <t xml:space="preserve"> comprese tra la </t>
    </r>
    <r>
      <rPr>
        <u val="single"/>
        <sz val="7"/>
        <rFont val="Verdana"/>
        <family val="2"/>
      </rPr>
      <t>data acquisto</t>
    </r>
    <r>
      <rPr>
        <sz val="7"/>
        <rFont val="Verdana"/>
        <family val="2"/>
      </rPr>
      <t xml:space="preserve"> e la </t>
    </r>
    <r>
      <rPr>
        <u val="single"/>
        <sz val="7"/>
        <rFont val="Verdana"/>
        <family val="2"/>
      </rPr>
      <t>data di conclusione</t>
    </r>
    <r>
      <rPr>
        <sz val="7"/>
        <rFont val="Verdana"/>
        <family val="2"/>
      </rPr>
      <t xml:space="preserve"> della tipologia di attività nell'ambito della quale la spesa viene ammessa a contributo (es.Ricerca)
     </t>
    </r>
    <r>
      <rPr>
        <u val="single"/>
        <sz val="7"/>
        <rFont val="Verdana"/>
        <family val="2"/>
      </rPr>
      <t>L</t>
    </r>
    <r>
      <rPr>
        <sz val="7"/>
        <rFont val="Verdana"/>
        <family val="2"/>
      </rPr>
      <t>: digitare "L" solo: a) nel caso di Leasing, oppure b) se è stata riconosciuta in domanda l'opzione "impianto Laboratorio"</t>
    </r>
  </si>
  <si>
    <t>1= contanti, assegni, bancomat, carta di credito sono ammessi solo per pagamenti di importo inferiore ad euro 500
2=  indicare la data di effettivo pagamento (che corrisponde, laddove possibile, con la data valuta)</t>
  </si>
  <si>
    <r>
      <t>2) modalità analitica</t>
    </r>
    <r>
      <rPr>
        <sz val="7"/>
        <rFont val="Verdana"/>
        <family val="2"/>
      </rPr>
      <t>: riportare il dettaglio puntuale delle singole voci delle spese generali fino ad un massimo del 40% del costo del personale di ricerca e presentare la certificazione di spesa (art.11, c. 2, lett. e)</t>
    </r>
  </si>
  <si>
    <r>
      <t>1) modalità forfettaria</t>
    </r>
    <r>
      <rPr>
        <sz val="7"/>
        <rFont val="Verdana"/>
        <family val="2"/>
      </rPr>
      <t>: riportare la % da applicare alle spese del personale di ricerca, come preventivato in domanda (nella misura massima del 20%).</t>
    </r>
  </si>
  <si>
    <t>1= tipo pagamento: contanti, assegni, bancomat, carta di credito solo per pagamenti inferiori ad euro 500
     data effettivo pagamento: indicare data effettivo pagamento (che corrisponde, dove possibile, con la valuta)
2= R/S o P/O: indicare R per Ricerca, S per Sviluppo, P per innovaz. processi, O per innovaz. organizzaz.</t>
  </si>
  <si>
    <t>totale nr. fatture</t>
  </si>
  <si>
    <t>costo senza IVAimputabIle al progetto</t>
  </si>
  <si>
    <t>costo senza IVAimputabile al progetto</t>
  </si>
  <si>
    <t>certificazione della totalità delle spese</t>
  </si>
  <si>
    <r>
      <t xml:space="preserve">descrizione della prestazione
</t>
    </r>
    <r>
      <rPr>
        <sz val="7"/>
        <rFont val="Verdana"/>
        <family val="2"/>
      </rPr>
      <t>(le due opzioni sono alternative)</t>
    </r>
  </si>
  <si>
    <t>certificazione delle sole spese generali (se rendicontate con modalità analitica)</t>
  </si>
  <si>
    <r>
      <t xml:space="preserve">
1= </t>
    </r>
    <r>
      <rPr>
        <u val="single"/>
        <sz val="7"/>
        <rFont val="Verdana"/>
        <family val="2"/>
      </rPr>
      <t>tipo pagamento</t>
    </r>
    <r>
      <rPr>
        <sz val="7"/>
        <rFont val="Verdana"/>
        <family val="2"/>
      </rPr>
      <t xml:space="preserve">: contanti, assegni, bancomat, carta di credito sono ammessi solo per pagamenti di importo inferiore ad euro 500
     </t>
    </r>
    <r>
      <rPr>
        <u val="single"/>
        <sz val="7"/>
        <rFont val="Verdana"/>
        <family val="2"/>
      </rPr>
      <t>data effettivo pagamento</t>
    </r>
    <r>
      <rPr>
        <sz val="7"/>
        <rFont val="Verdana"/>
        <family val="2"/>
      </rPr>
      <t>: indicare la data di effettivo pagamento (che corrisponde, laddove possibile, con la data valuta)
2= il valore totale massimo ammissibile è pari ad € 2.500</t>
    </r>
  </si>
  <si>
    <t>h) CERTIFICAZIONE DELLA SPESA</t>
  </si>
  <si>
    <t>rendicontazione - elenco i)</t>
  </si>
  <si>
    <t>rendicontazione - elenco h)</t>
  </si>
  <si>
    <t>vers. 6/2012</t>
  </si>
  <si>
    <t>% cntrll sulla singola voce</t>
  </si>
  <si>
    <t>cntrollo doc spesa</t>
  </si>
  <si>
    <t>cntrollo doc
nr fatt</t>
  </si>
  <si>
    <t>cntrollo loco spesa</t>
  </si>
  <si>
    <t>% cntrll su mater.+ prelievi</t>
  </si>
  <si>
    <t>vd sopra</t>
  </si>
  <si>
    <t>date (*)</t>
  </si>
  <si>
    <t>(*) se rendicontazione per fasi, vanno riportate le date relative alla fase rendicontata (acconto o saldo)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</si>
</sst>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€&quot;\ #,##0.00"/>
    <numFmt numFmtId="170" formatCode="[$-410]dddd\ d\ mmmm\ yyyy"/>
    <numFmt numFmtId="171" formatCode="dd/mm/yy;@"/>
    <numFmt numFmtId="172" formatCode="d/m/yy;@"/>
    <numFmt numFmtId="173" formatCode="[$-F800]dddd\,\ mmmm\ dd\,\ yyyy"/>
    <numFmt numFmtId="174" formatCode="ddd"/>
    <numFmt numFmtId="175" formatCode="#,##0_ ;\-#,##0\ "/>
    <numFmt numFmtId="176" formatCode="[$-410]d\-mmm\-yyyy;@"/>
    <numFmt numFmtId="177" formatCode="d/m/yyyy;@"/>
    <numFmt numFmtId="178" formatCode="#,##0.0_ ;\-#,##0.0\ "/>
    <numFmt numFmtId="179" formatCode="0.0"/>
    <numFmt numFmtId="180" formatCode="0.0_ ;\-0.0\ "/>
    <numFmt numFmtId="181" formatCode="0.00_ ;\-0.00\ "/>
    <numFmt numFmtId="182" formatCode="#,##0.0"/>
    <numFmt numFmtId="183" formatCode="0.0%"/>
    <numFmt numFmtId="184" formatCode="0_ ;\-0\ "/>
  </numFmts>
  <fonts count="41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8"/>
      <color indexed="10"/>
      <name val="Verdana"/>
      <family val="2"/>
    </font>
    <font>
      <sz val="18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7"/>
      <name val="Verdana"/>
      <family val="2"/>
    </font>
    <font>
      <sz val="7"/>
      <color indexed="9"/>
      <name val="Verdana"/>
      <family val="2"/>
    </font>
    <font>
      <b/>
      <vertAlign val="superscript"/>
      <sz val="7"/>
      <name val="Verdana"/>
      <family val="2"/>
    </font>
    <font>
      <sz val="7"/>
      <color indexed="57"/>
      <name val="Verdana"/>
      <family val="2"/>
    </font>
    <font>
      <sz val="16"/>
      <color indexed="23"/>
      <name val="Verdana"/>
      <family val="2"/>
    </font>
    <font>
      <sz val="12"/>
      <color indexed="23"/>
      <name val="Verdana"/>
      <family val="2"/>
    </font>
    <font>
      <sz val="10"/>
      <color indexed="23"/>
      <name val="Verdana"/>
      <family val="2"/>
    </font>
    <font>
      <sz val="8"/>
      <color indexed="23"/>
      <name val="Verdana"/>
      <family val="2"/>
    </font>
    <font>
      <sz val="7"/>
      <color indexed="23"/>
      <name val="Verdana"/>
      <family val="2"/>
    </font>
    <font>
      <sz val="18"/>
      <color indexed="23"/>
      <name val="Verdana"/>
      <family val="2"/>
    </font>
    <font>
      <i/>
      <sz val="8"/>
      <color indexed="23"/>
      <name val="Verdana"/>
      <family val="2"/>
    </font>
    <font>
      <u val="single"/>
      <sz val="7"/>
      <name val="Verdana"/>
      <family val="2"/>
    </font>
    <font>
      <sz val="7"/>
      <color indexed="12"/>
      <name val="Verdana"/>
      <family val="2"/>
    </font>
    <font>
      <b/>
      <sz val="7"/>
      <color indexed="10"/>
      <name val="Verdana"/>
      <family val="2"/>
    </font>
    <font>
      <b/>
      <sz val="9"/>
      <name val="Verdana"/>
      <family val="2"/>
    </font>
    <font>
      <sz val="9"/>
      <color indexed="57"/>
      <name val="Verdana"/>
      <family val="2"/>
    </font>
    <font>
      <sz val="18"/>
      <color indexed="10"/>
      <name val="Verdana"/>
      <family val="2"/>
    </font>
    <font>
      <sz val="11"/>
      <name val="Verdana"/>
      <family val="2"/>
    </font>
    <font>
      <vertAlign val="superscript"/>
      <sz val="7"/>
      <color indexed="23"/>
      <name val="Verdana"/>
      <family val="2"/>
    </font>
    <font>
      <sz val="9"/>
      <color indexed="23"/>
      <name val="Verdana"/>
      <family val="2"/>
    </font>
    <font>
      <b/>
      <sz val="7"/>
      <color indexed="57"/>
      <name val="Verdana"/>
      <family val="2"/>
    </font>
    <font>
      <sz val="6"/>
      <name val="Verdana"/>
      <family val="2"/>
    </font>
    <font>
      <sz val="6"/>
      <color indexed="9"/>
      <name val="Verdana"/>
      <family val="2"/>
    </font>
    <font>
      <sz val="8"/>
      <color indexed="9"/>
      <name val="Verdana"/>
      <family val="2"/>
    </font>
    <font>
      <sz val="7"/>
      <color indexed="10"/>
      <name val="Verdana"/>
      <family val="2"/>
    </font>
    <font>
      <sz val="6"/>
      <color indexed="10"/>
      <name val="Verdana"/>
      <family val="2"/>
    </font>
    <font>
      <b/>
      <sz val="12"/>
      <color indexed="10"/>
      <name val="Verdana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8"/>
      </top>
      <bottom style="double">
        <color indexed="38"/>
      </bottom>
    </border>
    <border>
      <left>
        <color indexed="63"/>
      </left>
      <right style="double">
        <color indexed="38"/>
      </right>
      <top style="double">
        <color indexed="38"/>
      </top>
      <bottom style="double">
        <color indexed="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38"/>
      </top>
      <bottom style="double">
        <color indexed="38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double">
        <color indexed="38"/>
      </left>
      <right>
        <color indexed="63"/>
      </right>
      <top style="double">
        <color indexed="38"/>
      </top>
      <bottom style="double">
        <color indexed="38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vertical="center"/>
    </xf>
    <xf numFmtId="2" fontId="2" fillId="0" borderId="0" xfId="0" applyNumberFormat="1" applyFont="1" applyAlignment="1" applyProtection="1">
      <alignment horizontal="center" vertical="center"/>
      <protection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171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horizontal="right" vertical="top"/>
      <protection/>
    </xf>
    <xf numFmtId="0" fontId="11" fillId="0" borderId="0" xfId="0" applyNumberFormat="1" applyFont="1" applyAlignment="1" applyProtection="1">
      <alignment horizontal="right" vertical="top"/>
      <protection/>
    </xf>
    <xf numFmtId="0" fontId="6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177" fontId="5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171" fontId="5" fillId="0" borderId="0" xfId="0" applyNumberFormat="1" applyFont="1" applyAlignment="1" applyProtection="1">
      <alignment horizontal="center" vertical="center"/>
      <protection/>
    </xf>
    <xf numFmtId="171" fontId="2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3" borderId="4" xfId="0" applyFont="1" applyFill="1" applyBorder="1" applyAlignment="1" applyProtection="1">
      <alignment horizontal="center" vertical="center"/>
      <protection/>
    </xf>
    <xf numFmtId="171" fontId="13" fillId="3" borderId="1" xfId="0" applyNumberFormat="1" applyFont="1" applyFill="1" applyBorder="1" applyAlignment="1" applyProtection="1">
      <alignment horizontal="center" vertical="center" wrapText="1"/>
      <protection/>
    </xf>
    <xf numFmtId="2" fontId="13" fillId="3" borderId="1" xfId="0" applyNumberFormat="1" applyFont="1" applyFill="1" applyBorder="1" applyAlignment="1" applyProtection="1">
      <alignment horizontal="center" vertical="center" wrapText="1"/>
      <protection/>
    </xf>
    <xf numFmtId="43" fontId="13" fillId="3" borderId="1" xfId="0" applyNumberFormat="1" applyFont="1" applyFill="1" applyBorder="1" applyAlignment="1" applyProtection="1">
      <alignment horizontal="center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43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NumberFormat="1" applyFont="1" applyBorder="1" applyAlignment="1" applyProtection="1">
      <alignment horizontal="right"/>
      <protection/>
    </xf>
    <xf numFmtId="171" fontId="5" fillId="0" borderId="0" xfId="0" applyNumberFormat="1" applyFont="1" applyBorder="1" applyAlignment="1" applyProtection="1">
      <alignment horizontal="center"/>
      <protection/>
    </xf>
    <xf numFmtId="43" fontId="13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13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 wrapText="1" indent="1"/>
      <protection/>
    </xf>
    <xf numFmtId="164" fontId="5" fillId="2" borderId="1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171" fontId="13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/>
      <protection/>
    </xf>
    <xf numFmtId="43" fontId="5" fillId="2" borderId="1" xfId="0" applyNumberFormat="1" applyFont="1" applyFill="1" applyBorder="1" applyAlignment="1" applyProtection="1">
      <alignment vertical="center"/>
      <protection/>
    </xf>
    <xf numFmtId="171" fontId="5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74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3" borderId="5" xfId="0" applyFont="1" applyFill="1" applyBorder="1" applyAlignment="1" applyProtection="1">
      <alignment horizontal="center" textRotation="90" wrapText="1"/>
      <protection/>
    </xf>
    <xf numFmtId="0" fontId="5" fillId="3" borderId="6" xfId="0" applyFont="1" applyFill="1" applyBorder="1" applyAlignment="1" applyProtection="1">
      <alignment horizontal="center" textRotation="90" wrapText="1"/>
      <protection/>
    </xf>
    <xf numFmtId="171" fontId="12" fillId="0" borderId="0" xfId="0" applyNumberFormat="1" applyFont="1" applyAlignment="1" applyProtection="1">
      <alignment horizontal="right" vertical="top"/>
      <protection/>
    </xf>
    <xf numFmtId="171" fontId="11" fillId="0" borderId="0" xfId="0" applyNumberFormat="1" applyFont="1" applyAlignment="1" applyProtection="1">
      <alignment horizontal="right" vertical="top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top"/>
      <protection/>
    </xf>
    <xf numFmtId="171" fontId="6" fillId="0" borderId="0" xfId="0" applyNumberFormat="1" applyFont="1" applyAlignment="1" applyProtection="1">
      <alignment horizontal="right" vertical="top"/>
      <protection/>
    </xf>
    <xf numFmtId="14" fontId="5" fillId="3" borderId="6" xfId="0" applyNumberFormat="1" applyFont="1" applyFill="1" applyBorder="1" applyAlignment="1" applyProtection="1">
      <alignment horizontal="center" vertical="center" wrapText="1"/>
      <protection/>
    </xf>
    <xf numFmtId="14" fontId="5" fillId="3" borderId="6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174" fontId="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171" fontId="12" fillId="0" borderId="0" xfId="0" applyNumberFormat="1" applyFont="1" applyFill="1" applyAlignment="1" applyProtection="1">
      <alignment horizontal="right" vertical="center"/>
      <protection/>
    </xf>
    <xf numFmtId="171" fontId="12" fillId="0" borderId="0" xfId="0" applyNumberFormat="1" applyFont="1" applyFill="1" applyAlignment="1" applyProtection="1">
      <alignment horizontal="right" vertical="top"/>
      <protection/>
    </xf>
    <xf numFmtId="2" fontId="12" fillId="0" borderId="0" xfId="0" applyNumberFormat="1" applyFont="1" applyFill="1" applyAlignment="1" applyProtection="1">
      <alignment horizontal="right" vertical="center"/>
      <protection/>
    </xf>
    <xf numFmtId="175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right" vertical="top"/>
      <protection/>
    </xf>
    <xf numFmtId="171" fontId="11" fillId="0" borderId="0" xfId="0" applyNumberFormat="1" applyFont="1" applyFill="1" applyAlignment="1" applyProtection="1">
      <alignment horizontal="right" vertical="center"/>
      <protection/>
    </xf>
    <xf numFmtId="171" fontId="11" fillId="0" borderId="0" xfId="0" applyNumberFormat="1" applyFont="1" applyFill="1" applyAlignment="1" applyProtection="1">
      <alignment horizontal="right" vertical="top"/>
      <protection/>
    </xf>
    <xf numFmtId="2" fontId="11" fillId="0" borderId="0" xfId="0" applyNumberFormat="1" applyFont="1" applyFill="1" applyAlignment="1" applyProtection="1">
      <alignment horizontal="right" vertical="center"/>
      <protection/>
    </xf>
    <xf numFmtId="175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right" vertical="top"/>
      <protection/>
    </xf>
    <xf numFmtId="0" fontId="6" fillId="0" borderId="0" xfId="0" applyNumberFormat="1" applyFont="1" applyFill="1" applyAlignment="1" applyProtection="1">
      <alignment horizontal="right" vertical="top"/>
      <protection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right" vertical="top"/>
      <protection/>
    </xf>
    <xf numFmtId="0" fontId="2" fillId="4" borderId="1" xfId="0" applyFont="1" applyFill="1" applyBorder="1" applyAlignment="1">
      <alignment vertical="center"/>
    </xf>
    <xf numFmtId="44" fontId="2" fillId="4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44" fontId="9" fillId="4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4" fontId="8" fillId="3" borderId="1" xfId="0" applyNumberFormat="1" applyFont="1" applyFill="1" applyBorder="1" applyAlignment="1">
      <alignment vertical="center"/>
    </xf>
    <xf numFmtId="0" fontId="16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2" fontId="21" fillId="3" borderId="1" xfId="0" applyNumberFormat="1" applyFont="1" applyFill="1" applyBorder="1" applyAlignment="1" applyProtection="1">
      <alignment horizontal="center" vertical="center" wrapText="1"/>
      <protection/>
    </xf>
    <xf numFmtId="43" fontId="21" fillId="3" borderId="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43" fontId="21" fillId="3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vertical="center"/>
    </xf>
    <xf numFmtId="171" fontId="18" fillId="0" borderId="0" xfId="0" applyNumberFormat="1" applyFont="1" applyAlignment="1">
      <alignment horizontal="center" vertical="top"/>
    </xf>
    <xf numFmtId="171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44" fontId="20" fillId="4" borderId="1" xfId="0" applyNumberFormat="1" applyFont="1" applyFill="1" applyBorder="1" applyAlignment="1">
      <alignment vertical="center"/>
    </xf>
    <xf numFmtId="44" fontId="23" fillId="3" borderId="1" xfId="0" applyNumberFormat="1" applyFont="1" applyFill="1" applyBorder="1" applyAlignment="1">
      <alignment vertical="center"/>
    </xf>
    <xf numFmtId="44" fontId="20" fillId="2" borderId="1" xfId="0" applyNumberFormat="1" applyFont="1" applyFill="1" applyBorder="1" applyAlignment="1">
      <alignment vertical="center"/>
    </xf>
    <xf numFmtId="4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/>
    </xf>
    <xf numFmtId="0" fontId="25" fillId="0" borderId="0" xfId="0" applyFont="1" applyFill="1" applyAlignment="1" applyProtection="1">
      <alignment horizontal="left" vertical="center"/>
      <protection/>
    </xf>
    <xf numFmtId="43" fontId="5" fillId="0" borderId="0" xfId="0" applyNumberFormat="1" applyFont="1" applyFill="1" applyAlignment="1" applyProtection="1">
      <alignment horizontal="right" vertical="top" wrapText="1"/>
      <protection/>
    </xf>
    <xf numFmtId="43" fontId="13" fillId="0" borderId="0" xfId="0" applyNumberFormat="1" applyFont="1" applyFill="1" applyBorder="1" applyAlignment="1" applyProtection="1">
      <alignment horizontal="center" vertical="center" wrapText="1"/>
      <protection/>
    </xf>
    <xf numFmtId="44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171" fontId="13" fillId="5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 wrapText="1"/>
      <protection/>
    </xf>
    <xf numFmtId="171" fontId="5" fillId="0" borderId="0" xfId="0" applyNumberFormat="1" applyFont="1" applyAlignment="1" applyProtection="1">
      <alignment vertical="center"/>
      <protection/>
    </xf>
    <xf numFmtId="171" fontId="5" fillId="0" borderId="0" xfId="0" applyNumberFormat="1" applyFont="1" applyAlignment="1" applyProtection="1">
      <alignment horizontal="left" vertical="center"/>
      <protection/>
    </xf>
    <xf numFmtId="171" fontId="5" fillId="0" borderId="1" xfId="0" applyNumberFormat="1" applyFont="1" applyBorder="1" applyAlignment="1" applyProtection="1">
      <alignment horizontal="left" vertical="center" wrapText="1"/>
      <protection locked="0"/>
    </xf>
    <xf numFmtId="171" fontId="5" fillId="0" borderId="0" xfId="0" applyNumberFormat="1" applyFont="1" applyFill="1" applyBorder="1" applyAlignment="1" applyProtection="1">
      <alignment horizontal="center" vertical="center" wrapText="1"/>
      <protection/>
    </xf>
    <xf numFmtId="17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Alignment="1" applyProtection="1">
      <alignment horizontal="right" vertical="top"/>
      <protection/>
    </xf>
    <xf numFmtId="43" fontId="21" fillId="2" borderId="1" xfId="0" applyNumberFormat="1" applyFont="1" applyFill="1" applyBorder="1" applyAlignment="1" applyProtection="1">
      <alignment horizontal="right" vertical="center"/>
      <protection/>
    </xf>
    <xf numFmtId="43" fontId="21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164" fontId="21" fillId="2" borderId="1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4" fontId="5" fillId="0" borderId="0" xfId="16" applyNumberFormat="1" applyFont="1" applyAlignment="1" applyProtection="1">
      <alignment horizontal="right" vertical="center"/>
      <protection/>
    </xf>
    <xf numFmtId="4" fontId="5" fillId="0" borderId="0" xfId="16" applyNumberFormat="1" applyFont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4" fontId="13" fillId="0" borderId="0" xfId="16" applyNumberFormat="1" applyFont="1" applyAlignment="1" applyProtection="1">
      <alignment horizontal="right" vertical="center"/>
      <protection/>
    </xf>
    <xf numFmtId="43" fontId="5" fillId="0" borderId="1" xfId="0" applyNumberFormat="1" applyFont="1" applyFill="1" applyBorder="1" applyAlignment="1" applyProtection="1">
      <alignment vertical="center"/>
      <protection locked="0"/>
    </xf>
    <xf numFmtId="4" fontId="13" fillId="3" borderId="1" xfId="0" applyNumberFormat="1" applyFont="1" applyFill="1" applyBorder="1" applyAlignment="1" applyProtection="1">
      <alignment horizontal="center" vertical="center" wrapText="1"/>
      <protection/>
    </xf>
    <xf numFmtId="4" fontId="13" fillId="3" borderId="1" xfId="16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/>
      <protection/>
    </xf>
    <xf numFmtId="171" fontId="14" fillId="0" borderId="0" xfId="0" applyNumberFormat="1" applyFont="1" applyAlignment="1" applyProtection="1">
      <alignment horizontal="left" vertical="top"/>
      <protection/>
    </xf>
    <xf numFmtId="0" fontId="5" fillId="0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8" fillId="0" borderId="0" xfId="0" applyFont="1" applyBorder="1" applyAlignment="1" applyProtection="1">
      <alignment horizontal="center" vertical="center" wrapText="1"/>
      <protection/>
    </xf>
    <xf numFmtId="43" fontId="5" fillId="0" borderId="0" xfId="0" applyNumberFormat="1" applyFont="1" applyFill="1" applyBorder="1" applyAlignment="1" applyProtection="1">
      <alignment horizontal="left" vertical="center" wrapText="1"/>
      <protection/>
    </xf>
    <xf numFmtId="43" fontId="21" fillId="0" borderId="0" xfId="0" applyNumberFormat="1" applyFont="1" applyAlignment="1" applyProtection="1">
      <alignment horizontal="center" vertical="center"/>
      <protection/>
    </xf>
    <xf numFmtId="171" fontId="5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/>
    </xf>
    <xf numFmtId="43" fontId="21" fillId="2" borderId="1" xfId="0" applyNumberFormat="1" applyFont="1" applyFill="1" applyBorder="1" applyAlignment="1" applyProtection="1">
      <alignment vertical="center"/>
      <protection/>
    </xf>
    <xf numFmtId="43" fontId="21" fillId="0" borderId="0" xfId="0" applyNumberFormat="1" applyFont="1" applyFill="1" applyBorder="1" applyAlignment="1" applyProtection="1">
      <alignment vertical="center" wrapText="1"/>
      <protection/>
    </xf>
    <xf numFmtId="0" fontId="13" fillId="0" borderId="7" xfId="0" applyFont="1" applyFill="1" applyBorder="1" applyAlignment="1" applyProtection="1">
      <alignment vertical="center"/>
      <protection/>
    </xf>
    <xf numFmtId="0" fontId="13" fillId="0" borderId="8" xfId="0" applyFont="1" applyFill="1" applyBorder="1" applyAlignment="1" applyProtection="1">
      <alignment vertical="center"/>
      <protection/>
    </xf>
    <xf numFmtId="0" fontId="0" fillId="0" borderId="8" xfId="0" applyFill="1" applyBorder="1" applyAlignment="1">
      <alignment vertical="center"/>
    </xf>
    <xf numFmtId="171" fontId="5" fillId="0" borderId="0" xfId="0" applyNumberFormat="1" applyFont="1" applyBorder="1" applyAlignment="1" applyProtection="1">
      <alignment horizontal="left" vertical="center"/>
      <protection/>
    </xf>
    <xf numFmtId="43" fontId="21" fillId="3" borderId="9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 applyProtection="1">
      <alignment horizontal="right" vertical="top"/>
      <protection/>
    </xf>
    <xf numFmtId="171" fontId="6" fillId="0" borderId="0" xfId="0" applyNumberFormat="1" applyFont="1" applyFill="1" applyAlignment="1" applyProtection="1">
      <alignment horizontal="right" vertical="top"/>
      <protection/>
    </xf>
    <xf numFmtId="2" fontId="6" fillId="0" borderId="0" xfId="0" applyNumberFormat="1" applyFont="1" applyFill="1" applyAlignment="1" applyProtection="1">
      <alignment horizontal="right" vertical="top"/>
      <protection/>
    </xf>
    <xf numFmtId="175" fontId="6" fillId="0" borderId="0" xfId="0" applyNumberFormat="1" applyFont="1" applyFill="1" applyAlignment="1" applyProtection="1">
      <alignment horizontal="right" vertical="top"/>
      <protection/>
    </xf>
    <xf numFmtId="0" fontId="16" fillId="0" borderId="0" xfId="0" applyNumberFormat="1" applyFont="1" applyBorder="1" applyAlignment="1" applyProtection="1">
      <alignment horizontal="left" vertical="center" wrapText="1"/>
      <protection/>
    </xf>
    <xf numFmtId="0" fontId="21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21" fillId="3" borderId="1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Border="1" applyAlignment="1" applyProtection="1">
      <alignment horizontal="left" vertical="center" wrapText="1"/>
      <protection/>
    </xf>
    <xf numFmtId="43" fontId="5" fillId="2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5" fillId="0" borderId="0" xfId="16" applyNumberFormat="1" applyFont="1" applyFill="1" applyBorder="1" applyAlignment="1" applyProtection="1">
      <alignment horizontal="right" vertical="center" wrapText="1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164" fontId="2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top"/>
      <protection/>
    </xf>
    <xf numFmtId="0" fontId="5" fillId="0" borderId="10" xfId="0" applyFont="1" applyFill="1" applyBorder="1" applyAlignment="1" applyProtection="1">
      <alignment horizontal="right" vertical="top"/>
      <protection/>
    </xf>
    <xf numFmtId="9" fontId="13" fillId="0" borderId="1" xfId="18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9" fontId="5" fillId="0" borderId="0" xfId="0" applyNumberFormat="1" applyFont="1" applyAlignment="1" applyProtection="1">
      <alignment horizontal="center" vertical="center"/>
      <protection/>
    </xf>
    <xf numFmtId="2" fontId="21" fillId="0" borderId="0" xfId="0" applyNumberFormat="1" applyFont="1" applyAlignment="1" applyProtection="1">
      <alignment horizontal="left" vertical="center" wrapText="1"/>
      <protection/>
    </xf>
    <xf numFmtId="2" fontId="21" fillId="0" borderId="0" xfId="0" applyNumberFormat="1" applyFont="1" applyBorder="1" applyAlignment="1" applyProtection="1">
      <alignment horizontal="left" vertical="center" wrapText="1"/>
      <protection/>
    </xf>
    <xf numFmtId="2" fontId="5" fillId="0" borderId="0" xfId="0" applyNumberFormat="1" applyFont="1" applyFill="1" applyBorder="1" applyAlignment="1" applyProtection="1">
      <alignment horizontal="left" vertical="center" wrapText="1"/>
      <protection/>
    </xf>
    <xf numFmtId="2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43" fontId="5" fillId="0" borderId="0" xfId="0" applyNumberFormat="1" applyFont="1" applyFill="1" applyBorder="1" applyAlignment="1" applyProtection="1">
      <alignment horizontal="right" vertical="center" wrapText="1"/>
      <protection/>
    </xf>
    <xf numFmtId="43" fontId="21" fillId="2" borderId="1" xfId="0" applyNumberFormat="1" applyFont="1" applyFill="1" applyBorder="1" applyAlignment="1" applyProtection="1">
      <alignment horizontal="right" vertical="center" inden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43" fontId="5" fillId="0" borderId="0" xfId="0" applyNumberFormat="1" applyFont="1" applyFill="1" applyBorder="1" applyAlignment="1" applyProtection="1">
      <alignment horizontal="right" vertical="center" indent="1"/>
      <protection/>
    </xf>
    <xf numFmtId="2" fontId="21" fillId="0" borderId="0" xfId="0" applyNumberFormat="1" applyFont="1" applyBorder="1" applyAlignment="1" applyProtection="1">
      <alignment vertical="center"/>
      <protection/>
    </xf>
    <xf numFmtId="43" fontId="5" fillId="0" borderId="0" xfId="0" applyNumberFormat="1" applyFont="1" applyFill="1" applyAlignment="1" applyProtection="1">
      <alignment horizontal="center" vertical="center" wrapText="1"/>
      <protection/>
    </xf>
    <xf numFmtId="164" fontId="21" fillId="0" borderId="0" xfId="0" applyNumberFormat="1" applyFont="1" applyFill="1" applyBorder="1" applyAlignment="1" applyProtection="1">
      <alignment horizontal="center" vertical="center"/>
      <protection/>
    </xf>
    <xf numFmtId="43" fontId="21" fillId="0" borderId="0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Alignment="1" applyProtection="1">
      <alignment vertical="center"/>
      <protection/>
    </xf>
    <xf numFmtId="2" fontId="21" fillId="0" borderId="0" xfId="0" applyNumberFormat="1" applyFont="1" applyFill="1" applyBorder="1" applyAlignment="1" applyProtection="1">
      <alignment vertical="center"/>
      <protection/>
    </xf>
    <xf numFmtId="2" fontId="21" fillId="0" borderId="0" xfId="0" applyNumberFormat="1" applyFont="1" applyFill="1" applyBorder="1" applyAlignment="1" applyProtection="1">
      <alignment horizontal="right" vertical="center"/>
      <protection/>
    </xf>
    <xf numFmtId="9" fontId="21" fillId="0" borderId="0" xfId="18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44" fontId="2" fillId="2" borderId="11" xfId="0" applyNumberFormat="1" applyFont="1" applyFill="1" applyBorder="1" applyAlignment="1">
      <alignment vertical="center"/>
    </xf>
    <xf numFmtId="0" fontId="14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right" vertical="top"/>
      <protection/>
    </xf>
    <xf numFmtId="171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center"/>
      <protection/>
    </xf>
    <xf numFmtId="43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 wrapText="1"/>
      <protection locked="0"/>
    </xf>
    <xf numFmtId="171" fontId="5" fillId="0" borderId="2" xfId="0" applyNumberFormat="1" applyFont="1" applyBorder="1" applyAlignment="1" applyProtection="1">
      <alignment horizontal="center" vertical="center" wrapText="1"/>
      <protection locked="0"/>
    </xf>
    <xf numFmtId="43" fontId="5" fillId="2" borderId="1" xfId="0" applyNumberFormat="1" applyFont="1" applyFill="1" applyBorder="1" applyAlignment="1" applyProtection="1">
      <alignment horizontal="right" vertical="center" indent="1"/>
      <protection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43" fontId="5" fillId="0" borderId="0" xfId="0" applyNumberFormat="1" applyFont="1" applyAlignment="1" applyProtection="1">
      <alignment horizontal="center" vertical="center"/>
      <protection/>
    </xf>
    <xf numFmtId="43" fontId="5" fillId="0" borderId="0" xfId="0" applyNumberFormat="1" applyFont="1" applyFill="1" applyBorder="1" applyAlignment="1" applyProtection="1">
      <alignment vertical="center"/>
      <protection locked="0"/>
    </xf>
    <xf numFmtId="9" fontId="16" fillId="0" borderId="0" xfId="0" applyNumberFormat="1" applyFont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 applyProtection="1">
      <alignment horizontal="center" vertical="center" wrapText="1"/>
      <protection/>
    </xf>
    <xf numFmtId="0" fontId="21" fillId="3" borderId="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 wrapText="1"/>
      <protection/>
    </xf>
    <xf numFmtId="0" fontId="32" fillId="0" borderId="0" xfId="0" applyNumberFormat="1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vertical="center"/>
      <protection/>
    </xf>
    <xf numFmtId="2" fontId="21" fillId="2" borderId="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2" fontId="21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right" vertical="top"/>
      <protection/>
    </xf>
    <xf numFmtId="43" fontId="21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 horizontal="right" vertical="top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2" fontId="21" fillId="0" borderId="13" xfId="0" applyNumberFormat="1" applyFont="1" applyFill="1" applyBorder="1" applyAlignment="1" applyProtection="1">
      <alignment horizontal="center" vertical="center" wrapText="1"/>
      <protection/>
    </xf>
    <xf numFmtId="43" fontId="21" fillId="0" borderId="13" xfId="0" applyNumberFormat="1" applyFont="1" applyFill="1" applyBorder="1" applyAlignment="1" applyProtection="1">
      <alignment vertical="center"/>
      <protection/>
    </xf>
    <xf numFmtId="43" fontId="21" fillId="0" borderId="13" xfId="0" applyNumberFormat="1" applyFont="1" applyFill="1" applyBorder="1" applyAlignment="1" applyProtection="1">
      <alignment horizontal="right" vertical="center" indent="1"/>
      <protection/>
    </xf>
    <xf numFmtId="43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2" fontId="21" fillId="3" borderId="9" xfId="0" applyNumberFormat="1" applyFont="1" applyFill="1" applyBorder="1" applyAlignment="1" applyProtection="1">
      <alignment vertical="center" wrapText="1"/>
      <protection/>
    </xf>
    <xf numFmtId="171" fontId="5" fillId="3" borderId="12" xfId="0" applyNumberFormat="1" applyFont="1" applyFill="1" applyBorder="1" applyAlignment="1" applyProtection="1">
      <alignment horizontal="center" vertical="center"/>
      <protection/>
    </xf>
    <xf numFmtId="171" fontId="5" fillId="3" borderId="2" xfId="0" applyNumberFormat="1" applyFont="1" applyFill="1" applyBorder="1" applyAlignment="1" applyProtection="1">
      <alignment horizontal="center" vertical="center"/>
      <protection/>
    </xf>
    <xf numFmtId="2" fontId="5" fillId="3" borderId="4" xfId="0" applyNumberFormat="1" applyFont="1" applyFill="1" applyBorder="1" applyAlignment="1" applyProtection="1">
      <alignment horizontal="center" vertical="center"/>
      <protection/>
    </xf>
    <xf numFmtId="43" fontId="21" fillId="0" borderId="14" xfId="0" applyNumberFormat="1" applyFont="1" applyFill="1" applyBorder="1" applyAlignment="1" applyProtection="1">
      <alignment horizontal="right" vertical="center" indent="1"/>
      <protection/>
    </xf>
    <xf numFmtId="2" fontId="21" fillId="0" borderId="0" xfId="0" applyNumberFormat="1" applyFont="1" applyBorder="1" applyAlignment="1" applyProtection="1">
      <alignment horizontal="center" vertical="center"/>
      <protection/>
    </xf>
    <xf numFmtId="2" fontId="21" fillId="0" borderId="15" xfId="0" applyNumberFormat="1" applyFont="1" applyBorder="1" applyAlignment="1" applyProtection="1">
      <alignment vertical="center"/>
      <protection/>
    </xf>
    <xf numFmtId="0" fontId="13" fillId="3" borderId="4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44" fontId="2" fillId="0" borderId="14" xfId="0" applyNumberFormat="1" applyFont="1" applyFill="1" applyBorder="1" applyAlignment="1">
      <alignment vertical="center"/>
    </xf>
    <xf numFmtId="44" fontId="9" fillId="0" borderId="14" xfId="0" applyNumberFormat="1" applyFont="1" applyFill="1" applyBorder="1" applyAlignment="1">
      <alignment vertical="center"/>
    </xf>
    <xf numFmtId="44" fontId="8" fillId="0" borderId="1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1" fontId="18" fillId="0" borderId="0" xfId="0" applyNumberFormat="1" applyFont="1" applyFill="1" applyBorder="1" applyAlignment="1">
      <alignment horizontal="center" vertical="top"/>
    </xf>
    <xf numFmtId="171" fontId="2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10" fontId="21" fillId="2" borderId="4" xfId="0" applyNumberFormat="1" applyFont="1" applyFill="1" applyBorder="1" applyAlignment="1">
      <alignment vertical="center"/>
    </xf>
    <xf numFmtId="4" fontId="21" fillId="2" borderId="1" xfId="0" applyNumberFormat="1" applyFont="1" applyFill="1" applyBorder="1" applyAlignment="1">
      <alignment vertical="center"/>
    </xf>
    <xf numFmtId="10" fontId="21" fillId="2" borderId="2" xfId="0" applyNumberFormat="1" applyFont="1" applyFill="1" applyBorder="1" applyAlignment="1">
      <alignment vertical="center"/>
    </xf>
    <xf numFmtId="10" fontId="21" fillId="0" borderId="15" xfId="0" applyNumberFormat="1" applyFont="1" applyFill="1" applyBorder="1" applyAlignment="1">
      <alignment vertical="center"/>
    </xf>
    <xf numFmtId="0" fontId="21" fillId="2" borderId="4" xfId="0" applyFont="1" applyFill="1" applyBorder="1" applyAlignment="1" quotePrefix="1">
      <alignment horizontal="right" vertical="center"/>
    </xf>
    <xf numFmtId="0" fontId="21" fillId="2" borderId="2" xfId="0" applyFont="1" applyFill="1" applyBorder="1" applyAlignment="1" quotePrefix="1">
      <alignment horizontal="right" vertical="center"/>
    </xf>
    <xf numFmtId="0" fontId="21" fillId="0" borderId="15" xfId="0" applyFont="1" applyFill="1" applyBorder="1" applyAlignment="1" quotePrefix="1">
      <alignment horizontal="righ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2" borderId="1" xfId="0" applyFont="1" applyFill="1" applyBorder="1" applyAlignment="1" quotePrefix="1">
      <alignment horizontal="right" vertical="center"/>
    </xf>
    <xf numFmtId="0" fontId="21" fillId="0" borderId="0" xfId="0" applyFont="1" applyFill="1" applyBorder="1" applyAlignment="1" quotePrefix="1">
      <alignment horizontal="right" vertical="center"/>
    </xf>
    <xf numFmtId="0" fontId="19" fillId="0" borderId="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7" fillId="0" borderId="0" xfId="0" applyFont="1" applyBorder="1" applyAlignment="1">
      <alignment vertical="top"/>
    </xf>
    <xf numFmtId="10" fontId="21" fillId="2" borderId="1" xfId="0" applyNumberFormat="1" applyFont="1" applyFill="1" applyBorder="1" applyAlignment="1">
      <alignment vertical="center"/>
    </xf>
    <xf numFmtId="10" fontId="21" fillId="0" borderId="0" xfId="0" applyNumberFormat="1" applyFont="1" applyFill="1" applyBorder="1" applyAlignment="1">
      <alignment vertical="center"/>
    </xf>
    <xf numFmtId="44" fontId="20" fillId="2" borderId="11" xfId="0" applyNumberFormat="1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3" fontId="21" fillId="0" borderId="0" xfId="0" applyNumberFormat="1" applyFont="1" applyFill="1" applyBorder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" fontId="21" fillId="2" borderId="4" xfId="0" applyNumberFormat="1" applyFont="1" applyFill="1" applyBorder="1" applyAlignment="1">
      <alignment vertical="center"/>
    </xf>
    <xf numFmtId="10" fontId="21" fillId="0" borderId="14" xfId="0" applyNumberFormat="1" applyFont="1" applyFill="1" applyBorder="1" applyAlignment="1">
      <alignment vertical="center"/>
    </xf>
    <xf numFmtId="0" fontId="21" fillId="0" borderId="14" xfId="0" applyFont="1" applyFill="1" applyBorder="1" applyAlignment="1" quotePrefix="1">
      <alignment horizontal="right" vertical="center"/>
    </xf>
    <xf numFmtId="0" fontId="21" fillId="0" borderId="0" xfId="0" applyFont="1" applyFill="1" applyBorder="1" applyAlignment="1">
      <alignment/>
    </xf>
    <xf numFmtId="0" fontId="19" fillId="0" borderId="16" xfId="0" applyFont="1" applyFill="1" applyBorder="1" applyAlignment="1" applyProtection="1">
      <alignment vertical="center" wrapText="1"/>
      <protection/>
    </xf>
    <xf numFmtId="0" fontId="19" fillId="0" borderId="17" xfId="0" applyFont="1" applyFill="1" applyBorder="1" applyAlignment="1" applyProtection="1">
      <alignment vertical="center" wrapText="1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>
      <alignment horizontal="center" vertical="center" wrapText="1"/>
    </xf>
    <xf numFmtId="44" fontId="20" fillId="0" borderId="13" xfId="0" applyNumberFormat="1" applyFont="1" applyFill="1" applyBorder="1" applyAlignment="1">
      <alignment vertical="center"/>
    </xf>
    <xf numFmtId="44" fontId="9" fillId="0" borderId="13" xfId="0" applyNumberFormat="1" applyFont="1" applyFill="1" applyBorder="1" applyAlignment="1">
      <alignment vertical="center"/>
    </xf>
    <xf numFmtId="44" fontId="23" fillId="0" borderId="13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 wrapText="1"/>
    </xf>
    <xf numFmtId="0" fontId="20" fillId="0" borderId="0" xfId="0" applyNumberFormat="1" applyFont="1" applyAlignment="1" applyProtection="1">
      <alignment horizontal="right" vertical="top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13" fillId="5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8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15" fillId="3" borderId="1" xfId="0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Border="1" applyAlignment="1" applyProtection="1">
      <alignment horizontal="right" vertical="top"/>
      <protection/>
    </xf>
    <xf numFmtId="0" fontId="33" fillId="0" borderId="0" xfId="0" applyNumberFormat="1" applyFont="1" applyBorder="1" applyAlignment="1" applyProtection="1">
      <alignment horizontal="right"/>
      <protection/>
    </xf>
    <xf numFmtId="4" fontId="33" fillId="0" borderId="0" xfId="16" applyNumberFormat="1" applyFont="1" applyAlignment="1" applyProtection="1">
      <alignment horizontal="right"/>
      <protection/>
    </xf>
    <xf numFmtId="4" fontId="33" fillId="0" borderId="0" xfId="16" applyNumberFormat="1" applyFont="1" applyAlignment="1" applyProtection="1">
      <alignment horizontal="right" vertical="center"/>
      <protection/>
    </xf>
    <xf numFmtId="177" fontId="16" fillId="0" borderId="0" xfId="0" applyNumberFormat="1" applyFont="1" applyBorder="1" applyAlignment="1" applyProtection="1">
      <alignment horizontal="center"/>
      <protection/>
    </xf>
    <xf numFmtId="3" fontId="13" fillId="3" borderId="1" xfId="0" applyNumberFormat="1" applyFont="1" applyFill="1" applyBorder="1" applyAlignment="1" applyProtection="1">
      <alignment horizontal="center" vertical="center"/>
      <protection/>
    </xf>
    <xf numFmtId="3" fontId="21" fillId="3" borderId="1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Alignment="1" applyProtection="1">
      <alignment horizontal="center" vertical="center" wrapText="1"/>
      <protection/>
    </xf>
    <xf numFmtId="3" fontId="21" fillId="0" borderId="0" xfId="0" applyNumberFormat="1" applyFont="1" applyBorder="1" applyAlignment="1" applyProtection="1">
      <alignment horizontal="center" vertical="center" wrapText="1"/>
      <protection/>
    </xf>
    <xf numFmtId="3" fontId="21" fillId="2" borderId="1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Alignment="1" applyProtection="1">
      <alignment horizontal="center" vertical="top"/>
      <protection/>
    </xf>
    <xf numFmtId="3" fontId="11" fillId="0" borderId="0" xfId="0" applyNumberFormat="1" applyFont="1" applyAlignment="1" applyProtection="1">
      <alignment horizontal="center" vertical="top"/>
      <protection/>
    </xf>
    <xf numFmtId="3" fontId="6" fillId="0" borderId="0" xfId="0" applyNumberFormat="1" applyFont="1" applyAlignment="1" applyProtection="1">
      <alignment horizontal="center" vertical="top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3" fontId="5" fillId="3" borderId="12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3" fontId="19" fillId="0" borderId="16" xfId="0" applyNumberFormat="1" applyFont="1" applyFill="1" applyBorder="1" applyAlignment="1" applyProtection="1">
      <alignment horizontal="center" vertical="center" wrapText="1"/>
      <protection/>
    </xf>
    <xf numFmtId="3" fontId="21" fillId="3" borderId="1" xfId="0" applyNumberFormat="1" applyFont="1" applyFill="1" applyBorder="1" applyAlignment="1" applyProtection="1">
      <alignment horizontal="center" vertical="center"/>
      <protection/>
    </xf>
    <xf numFmtId="3" fontId="21" fillId="0" borderId="0" xfId="0" applyNumberFormat="1" applyFont="1" applyAlignment="1" applyProtection="1">
      <alignment horizontal="center" vertical="top"/>
      <protection/>
    </xf>
    <xf numFmtId="3" fontId="19" fillId="0" borderId="16" xfId="0" applyNumberFormat="1" applyFont="1" applyFill="1" applyBorder="1" applyAlignment="1" applyProtection="1">
      <alignment horizontal="center" vertical="center"/>
      <protection/>
    </xf>
    <xf numFmtId="3" fontId="21" fillId="0" borderId="0" xfId="0" applyNumberFormat="1" applyFont="1" applyAlignment="1" applyProtection="1">
      <alignment horizontal="center" vertical="center"/>
      <protection/>
    </xf>
    <xf numFmtId="1" fontId="21" fillId="2" borderId="1" xfId="0" applyNumberFormat="1" applyFont="1" applyFill="1" applyBorder="1" applyAlignment="1" applyProtection="1">
      <alignment horizontal="center" vertical="center"/>
      <protection/>
    </xf>
    <xf numFmtId="43" fontId="5" fillId="0" borderId="1" xfId="0" applyNumberFormat="1" applyFont="1" applyBorder="1" applyAlignment="1" applyProtection="1">
      <alignment horizontal="center" vertical="center" wrapText="1"/>
      <protection locked="0"/>
    </xf>
    <xf numFmtId="4" fontId="13" fillId="0" borderId="8" xfId="0" applyNumberFormat="1" applyFont="1" applyFill="1" applyBorder="1" applyAlignment="1" applyProtection="1">
      <alignment vertical="center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0" fontId="21" fillId="3" borderId="1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NumberFormat="1" applyFont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right" vertical="top"/>
      <protection/>
    </xf>
    <xf numFmtId="0" fontId="19" fillId="0" borderId="0" xfId="0" applyFont="1" applyFill="1" applyAlignment="1" applyProtection="1">
      <alignment horizontal="right" vertical="top"/>
      <protection/>
    </xf>
    <xf numFmtId="0" fontId="21" fillId="0" borderId="0" xfId="0" applyNumberFormat="1" applyFont="1" applyAlignment="1" applyProtection="1">
      <alignment horizontal="center"/>
      <protection/>
    </xf>
    <xf numFmtId="1" fontId="21" fillId="0" borderId="0" xfId="0" applyNumberFormat="1" applyFont="1" applyBorder="1" applyAlignment="1" applyProtection="1">
      <alignment horizontal="center"/>
      <protection/>
    </xf>
    <xf numFmtId="1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 vertical="center" wrapText="1" indent="1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NumberFormat="1" applyFont="1" applyBorder="1" applyAlignment="1" applyProtection="1">
      <alignment horizontal="right"/>
      <protection/>
    </xf>
    <xf numFmtId="0" fontId="21" fillId="0" borderId="19" xfId="0" applyNumberFormat="1" applyFont="1" applyBorder="1" applyAlignment="1" applyProtection="1">
      <alignment horizontal="left" vertical="top"/>
      <protection/>
    </xf>
    <xf numFmtId="0" fontId="18" fillId="0" borderId="0" xfId="0" applyFont="1" applyAlignment="1" applyProtection="1">
      <alignment horizontal="right" vertical="top"/>
      <protection/>
    </xf>
    <xf numFmtId="43" fontId="5" fillId="2" borderId="4" xfId="0" applyNumberFormat="1" applyFont="1" applyFill="1" applyBorder="1" applyAlignment="1" applyProtection="1">
      <alignment vertical="center"/>
      <protection/>
    </xf>
    <xf numFmtId="164" fontId="5" fillId="2" borderId="4" xfId="0" applyNumberFormat="1" applyFont="1" applyFill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vertical="center" wrapText="1"/>
      <protection/>
    </xf>
    <xf numFmtId="0" fontId="20" fillId="0" borderId="19" xfId="0" applyFont="1" applyBorder="1" applyAlignment="1" applyProtection="1">
      <alignment horizontal="center" vertical="center"/>
      <protection/>
    </xf>
    <xf numFmtId="2" fontId="21" fillId="2" borderId="21" xfId="0" applyNumberFormat="1" applyFont="1" applyFill="1" applyBorder="1" applyAlignment="1" applyProtection="1">
      <alignment horizontal="center" vertical="center"/>
      <protection/>
    </xf>
    <xf numFmtId="0" fontId="20" fillId="0" borderId="21" xfId="0" applyFont="1" applyFill="1" applyBorder="1" applyAlignment="1" applyProtection="1">
      <alignment horizontal="center" vertical="center"/>
      <protection/>
    </xf>
    <xf numFmtId="171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21" fillId="2" borderId="1" xfId="0" applyNumberFormat="1" applyFont="1" applyFill="1" applyBorder="1" applyAlignment="1" applyProtection="1">
      <alignment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/>
    </xf>
    <xf numFmtId="43" fontId="21" fillId="2" borderId="1" xfId="0" applyNumberFormat="1" applyFont="1" applyFill="1" applyBorder="1" applyAlignment="1" applyProtection="1">
      <alignment horizontal="right" vertical="center" wrapText="1"/>
      <protection locked="0"/>
    </xf>
    <xf numFmtId="43" fontId="5" fillId="0" borderId="1" xfId="0" applyNumberFormat="1" applyFont="1" applyBorder="1" applyAlignment="1" applyProtection="1">
      <alignment horizontal="right" vertical="center" wrapText="1"/>
      <protection locked="0"/>
    </xf>
    <xf numFmtId="43" fontId="5" fillId="3" borderId="12" xfId="0" applyNumberFormat="1" applyFont="1" applyFill="1" applyBorder="1" applyAlignment="1" applyProtection="1">
      <alignment horizontal="right" vertical="top"/>
      <protection/>
    </xf>
    <xf numFmtId="43" fontId="5" fillId="2" borderId="4" xfId="0" applyNumberFormat="1" applyFont="1" applyFill="1" applyBorder="1" applyAlignment="1" applyProtection="1">
      <alignment horizontal="right" vertical="center"/>
      <protection/>
    </xf>
    <xf numFmtId="3" fontId="21" fillId="0" borderId="19" xfId="0" applyNumberFormat="1" applyFont="1" applyBorder="1" applyAlignment="1" applyProtection="1">
      <alignment horizontal="center" vertical="center" wrapText="1"/>
      <protection/>
    </xf>
    <xf numFmtId="3" fontId="19" fillId="0" borderId="20" xfId="0" applyNumberFormat="1" applyFont="1" applyFill="1" applyBorder="1" applyAlignment="1" applyProtection="1">
      <alignment horizontal="center" vertical="center" wrapText="1"/>
      <protection/>
    </xf>
    <xf numFmtId="3" fontId="21" fillId="3" borderId="21" xfId="0" applyNumberFormat="1" applyFont="1" applyFill="1" applyBorder="1" applyAlignment="1" applyProtection="1">
      <alignment horizontal="center" vertical="center" wrapText="1"/>
      <protection/>
    </xf>
    <xf numFmtId="3" fontId="21" fillId="2" borderId="21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Fill="1" applyBorder="1" applyAlignment="1" applyProtection="1">
      <alignment horizontal="center" vertical="center" wrapText="1"/>
      <protection/>
    </xf>
    <xf numFmtId="3" fontId="21" fillId="0" borderId="19" xfId="0" applyNumberFormat="1" applyFont="1" applyFill="1" applyBorder="1" applyAlignment="1" applyProtection="1">
      <alignment horizontal="center" vertical="center"/>
      <protection/>
    </xf>
    <xf numFmtId="3" fontId="21" fillId="0" borderId="19" xfId="0" applyNumberFormat="1" applyFont="1" applyFill="1" applyBorder="1" applyAlignment="1" applyProtection="1">
      <alignment horizontal="center" vertical="center" wrapText="1"/>
      <protection/>
    </xf>
    <xf numFmtId="43" fontId="5" fillId="2" borderId="4" xfId="0" applyNumberFormat="1" applyFont="1" applyFill="1" applyBorder="1" applyAlignment="1" applyProtection="1">
      <alignment vertical="center"/>
      <protection locked="0"/>
    </xf>
    <xf numFmtId="0" fontId="29" fillId="0" borderId="19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20" fillId="0" borderId="19" xfId="0" applyFont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164" fontId="5" fillId="2" borderId="1" xfId="0" applyNumberFormat="1" applyFont="1" applyFill="1" applyBorder="1" applyAlignment="1" applyProtection="1">
      <alignment horizontal="right" vertical="center" indent="1"/>
      <protection/>
    </xf>
    <xf numFmtId="164" fontId="5" fillId="2" borderId="4" xfId="0" applyNumberFormat="1" applyFont="1" applyFill="1" applyBorder="1" applyAlignment="1" applyProtection="1">
      <alignment horizontal="right" vertical="center" indent="1"/>
      <protection/>
    </xf>
    <xf numFmtId="164" fontId="21" fillId="2" borderId="1" xfId="0" applyNumberFormat="1" applyFont="1" applyFill="1" applyBorder="1" applyAlignment="1" applyProtection="1">
      <alignment horizontal="right" vertical="center" indent="1"/>
      <protection/>
    </xf>
    <xf numFmtId="4" fontId="21" fillId="2" borderId="1" xfId="0" applyNumberFormat="1" applyFont="1" applyFill="1" applyBorder="1" applyAlignment="1" applyProtection="1">
      <alignment horizontal="right" vertical="center" indent="1"/>
      <protection/>
    </xf>
    <xf numFmtId="3" fontId="21" fillId="0" borderId="21" xfId="0" applyNumberFormat="1" applyFont="1" applyFill="1" applyBorder="1" applyAlignment="1" applyProtection="1">
      <alignment horizontal="center" vertical="center"/>
      <protection/>
    </xf>
    <xf numFmtId="41" fontId="21" fillId="2" borderId="1" xfId="0" applyNumberFormat="1" applyFont="1" applyFill="1" applyBorder="1" applyAlignment="1" applyProtection="1">
      <alignment horizontal="center" vertical="center"/>
      <protection/>
    </xf>
    <xf numFmtId="3" fontId="21" fillId="0" borderId="1" xfId="0" applyNumberFormat="1" applyFont="1" applyFill="1" applyBorder="1" applyAlignment="1" applyProtection="1">
      <alignment horizontal="center" vertical="center"/>
      <protection/>
    </xf>
    <xf numFmtId="41" fontId="5" fillId="2" borderId="1" xfId="0" applyNumberFormat="1" applyFont="1" applyFill="1" applyBorder="1" applyAlignment="1" applyProtection="1">
      <alignment horizontal="center" vertical="center"/>
      <protection/>
    </xf>
    <xf numFmtId="2" fontId="12" fillId="0" borderId="0" xfId="0" applyNumberFormat="1" applyFont="1" applyAlignment="1" applyProtection="1">
      <alignment horizontal="center" vertical="top"/>
      <protection/>
    </xf>
    <xf numFmtId="2" fontId="11" fillId="0" borderId="0" xfId="0" applyNumberFormat="1" applyFont="1" applyAlignment="1" applyProtection="1">
      <alignment horizontal="center" vertical="top"/>
      <protection/>
    </xf>
    <xf numFmtId="2" fontId="6" fillId="0" borderId="0" xfId="0" applyNumberFormat="1" applyFont="1" applyAlignment="1" applyProtection="1">
      <alignment horizontal="center" vertical="top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3" fontId="21" fillId="3" borderId="9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9" fontId="16" fillId="0" borderId="2" xfId="0" applyNumberFormat="1" applyFont="1" applyFill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43" fontId="21" fillId="0" borderId="19" xfId="0" applyNumberFormat="1" applyFont="1" applyFill="1" applyBorder="1" applyAlignment="1" applyProtection="1">
      <alignment vertical="center" wrapText="1"/>
      <protection/>
    </xf>
    <xf numFmtId="43" fontId="13" fillId="0" borderId="8" xfId="0" applyNumberFormat="1" applyFont="1" applyFill="1" applyBorder="1" applyAlignment="1" applyProtection="1">
      <alignment vertical="center"/>
      <protection/>
    </xf>
    <xf numFmtId="43" fontId="21" fillId="0" borderId="1" xfId="0" applyNumberFormat="1" applyFont="1" applyFill="1" applyBorder="1" applyAlignment="1" applyProtection="1">
      <alignment horizontal="right" vertical="center"/>
      <protection/>
    </xf>
    <xf numFmtId="43" fontId="21" fillId="0" borderId="0" xfId="0" applyNumberFormat="1" applyFont="1" applyFill="1" applyAlignment="1" applyProtection="1">
      <alignment horizontal="right" vertical="center"/>
      <protection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right" vertical="center" wrapText="1"/>
    </xf>
    <xf numFmtId="4" fontId="21" fillId="2" borderId="4" xfId="0" applyNumberFormat="1" applyFont="1" applyFill="1" applyBorder="1" applyAlignment="1" quotePrefix="1">
      <alignment horizontal="right" vertical="center"/>
    </xf>
    <xf numFmtId="171" fontId="5" fillId="2" borderId="0" xfId="0" applyNumberFormat="1" applyFont="1" applyFill="1" applyAlignment="1">
      <alignment horizontal="left" vertical="top"/>
    </xf>
    <xf numFmtId="171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top"/>
    </xf>
    <xf numFmtId="0" fontId="13" fillId="0" borderId="0" xfId="0" applyFont="1" applyFill="1" applyBorder="1" applyAlignment="1" applyProtection="1">
      <alignment vertical="center" textRotation="90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>
      <alignment horizontal="left" vertical="top"/>
    </xf>
    <xf numFmtId="177" fontId="14" fillId="0" borderId="0" xfId="0" applyNumberFormat="1" applyFont="1" applyFill="1" applyBorder="1" applyAlignment="1">
      <alignment horizontal="left" vertical="top"/>
    </xf>
    <xf numFmtId="171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21" fillId="3" borderId="18" xfId="0" applyNumberFormat="1" applyFont="1" applyFill="1" applyBorder="1" applyAlignment="1" applyProtection="1">
      <alignment horizontal="center" vertical="center" wrapText="1"/>
      <protection/>
    </xf>
    <xf numFmtId="171" fontId="5" fillId="0" borderId="15" xfId="0" applyNumberFormat="1" applyFont="1" applyBorder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center" vertical="center" wrapText="1"/>
      <protection/>
    </xf>
    <xf numFmtId="0" fontId="21" fillId="0" borderId="0" xfId="0" applyNumberFormat="1" applyFont="1" applyAlignment="1" applyProtection="1">
      <alignment horizontal="right" vertical="center"/>
      <protection/>
    </xf>
    <xf numFmtId="0" fontId="19" fillId="0" borderId="16" xfId="0" applyNumberFormat="1" applyFont="1" applyFill="1" applyBorder="1" applyAlignment="1" applyProtection="1">
      <alignment vertical="center" wrapText="1"/>
      <protection/>
    </xf>
    <xf numFmtId="2" fontId="21" fillId="0" borderId="1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top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/>
      <protection locked="0"/>
    </xf>
    <xf numFmtId="0" fontId="21" fillId="3" borderId="22" xfId="0" applyFont="1" applyFill="1" applyBorder="1" applyAlignment="1" applyProtection="1">
      <alignment horizontal="center" vertical="center" wrapText="1"/>
      <protection/>
    </xf>
    <xf numFmtId="0" fontId="21" fillId="3" borderId="2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21" fillId="2" borderId="1" xfId="0" applyNumberFormat="1" applyFont="1" applyFill="1" applyBorder="1" applyAlignment="1" applyProtection="1">
      <alignment horizontal="center" vertical="center"/>
      <protection/>
    </xf>
    <xf numFmtId="2" fontId="21" fillId="0" borderId="15" xfId="0" applyNumberFormat="1" applyFont="1" applyFill="1" applyBorder="1" applyAlignment="1" applyProtection="1">
      <alignment horizontal="center" vertical="center"/>
      <protection/>
    </xf>
    <xf numFmtId="164" fontId="21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164" fontId="21" fillId="0" borderId="13" xfId="0" applyNumberFormat="1" applyFont="1" applyFill="1" applyBorder="1" applyAlignment="1" applyProtection="1">
      <alignment horizontal="center" vertical="center"/>
      <protection/>
    </xf>
    <xf numFmtId="2" fontId="21" fillId="0" borderId="12" xfId="0" applyNumberFormat="1" applyFont="1" applyFill="1" applyBorder="1" applyAlignment="1" applyProtection="1">
      <alignment horizontal="center" vertical="center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2" fontId="5" fillId="3" borderId="12" xfId="0" applyNumberFormat="1" applyFont="1" applyFill="1" applyBorder="1" applyAlignment="1" applyProtection="1">
      <alignment horizontal="center" vertical="center"/>
      <protection/>
    </xf>
    <xf numFmtId="41" fontId="5" fillId="0" borderId="1" xfId="0" applyNumberFormat="1" applyFont="1" applyFill="1" applyBorder="1" applyAlignment="1" applyProtection="1">
      <alignment horizontal="center" vertical="center"/>
      <protection locked="0"/>
    </xf>
    <xf numFmtId="43" fontId="21" fillId="2" borderId="1" xfId="0" applyNumberFormat="1" applyFont="1" applyFill="1" applyBorder="1" applyAlignment="1" applyProtection="1">
      <alignment horizontal="center" vertical="center"/>
      <protection/>
    </xf>
    <xf numFmtId="43" fontId="21" fillId="2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64" fontId="21" fillId="0" borderId="1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top" wrapText="1"/>
      <protection/>
    </xf>
    <xf numFmtId="0" fontId="20" fillId="0" borderId="0" xfId="0" applyNumberFormat="1" applyFont="1" applyAlignment="1" applyProtection="1">
      <alignment horizontal="center" vertical="center"/>
      <protection/>
    </xf>
    <xf numFmtId="0" fontId="22" fillId="0" borderId="0" xfId="0" applyNumberFormat="1" applyFont="1" applyAlignment="1" applyProtection="1">
      <alignment horizontal="center" vertical="center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center" vertical="center"/>
      <protection/>
    </xf>
    <xf numFmtId="0" fontId="21" fillId="0" borderId="0" xfId="18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10" fontId="5" fillId="2" borderId="1" xfId="18" applyNumberFormat="1" applyFont="1" applyFill="1" applyBorder="1" applyAlignment="1" applyProtection="1">
      <alignment horizontal="center" vertical="center"/>
      <protection/>
    </xf>
    <xf numFmtId="10" fontId="5" fillId="2" borderId="4" xfId="18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164" fontId="14" fillId="0" borderId="0" xfId="0" applyNumberFormat="1" applyFont="1" applyAlignment="1" applyProtection="1">
      <alignment vertical="center"/>
      <protection/>
    </xf>
    <xf numFmtId="2" fontId="5" fillId="2" borderId="0" xfId="0" applyNumberFormat="1" applyFont="1" applyFill="1" applyAlignment="1">
      <alignment horizontal="left" vertical="top"/>
    </xf>
    <xf numFmtId="0" fontId="12" fillId="0" borderId="0" xfId="0" applyFont="1" applyBorder="1" applyAlignment="1" applyProtection="1">
      <alignment vertical="top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top"/>
      <protection locked="0"/>
    </xf>
    <xf numFmtId="0" fontId="36" fillId="0" borderId="19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/>
      <protection/>
    </xf>
    <xf numFmtId="0" fontId="37" fillId="0" borderId="0" xfId="0" applyNumberFormat="1" applyFont="1" applyAlignment="1" applyProtection="1">
      <alignment horizontal="left" vertical="center" wrapText="1"/>
      <protection/>
    </xf>
    <xf numFmtId="43" fontId="5" fillId="2" borderId="4" xfId="0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4" fontId="5" fillId="0" borderId="0" xfId="16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164" fontId="5" fillId="0" borderId="0" xfId="0" applyNumberFormat="1" applyFont="1" applyAlignment="1" applyProtection="1">
      <alignment vertical="top" wrapText="1"/>
      <protection/>
    </xf>
    <xf numFmtId="0" fontId="38" fillId="0" borderId="0" xfId="0" applyFont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37" fillId="0" borderId="0" xfId="0" applyFont="1" applyAlignment="1" applyProtection="1">
      <alignment vertical="top" wrapText="1"/>
      <protection/>
    </xf>
    <xf numFmtId="0" fontId="37" fillId="0" borderId="0" xfId="0" applyNumberFormat="1" applyFont="1" applyAlignment="1" applyProtection="1">
      <alignment vertical="top" wrapText="1"/>
      <protection/>
    </xf>
    <xf numFmtId="0" fontId="37" fillId="0" borderId="0" xfId="0" applyFont="1" applyAlignment="1" applyProtection="1">
      <alignment horizontal="center" vertical="center"/>
      <protection/>
    </xf>
    <xf numFmtId="171" fontId="37" fillId="0" borderId="0" xfId="0" applyNumberFormat="1" applyFont="1" applyAlignment="1" applyProtection="1">
      <alignment horizontal="center" vertical="center"/>
      <protection/>
    </xf>
    <xf numFmtId="0" fontId="37" fillId="0" borderId="0" xfId="0" applyNumberFormat="1" applyFont="1" applyAlignment="1" applyProtection="1">
      <alignment vertical="center"/>
      <protection/>
    </xf>
    <xf numFmtId="171" fontId="37" fillId="0" borderId="0" xfId="0" applyNumberFormat="1" applyFont="1" applyAlignment="1" applyProtection="1">
      <alignment vertical="center"/>
      <protection/>
    </xf>
    <xf numFmtId="4" fontId="37" fillId="0" borderId="0" xfId="16" applyNumberFormat="1" applyFont="1" applyAlignment="1" applyProtection="1">
      <alignment horizontal="right" vertical="center"/>
      <protection/>
    </xf>
    <xf numFmtId="43" fontId="5" fillId="0" borderId="0" xfId="0" applyNumberFormat="1" applyFont="1" applyBorder="1" applyAlignment="1" applyProtection="1">
      <alignment horizontal="right" vertical="center" wrapText="1"/>
      <protection/>
    </xf>
    <xf numFmtId="171" fontId="5" fillId="0" borderId="0" xfId="0" applyNumberFormat="1" applyFont="1" applyBorder="1" applyAlignment="1" applyProtection="1">
      <alignment horizontal="left" vertical="center" wrapText="1"/>
      <protection/>
    </xf>
    <xf numFmtId="43" fontId="5" fillId="0" borderId="0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horizontal="right" vertical="center" wrapText="1"/>
      <protection/>
    </xf>
    <xf numFmtId="4" fontId="5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right" vertical="center"/>
      <protection/>
    </xf>
    <xf numFmtId="171" fontId="14" fillId="0" borderId="0" xfId="0" applyNumberFormat="1" applyFont="1" applyFill="1" applyBorder="1" applyAlignment="1" applyProtection="1">
      <alignment horizontal="left" vertical="center"/>
      <protection/>
    </xf>
    <xf numFmtId="171" fontId="14" fillId="0" borderId="0" xfId="0" applyNumberFormat="1" applyFont="1" applyFill="1" applyBorder="1" applyAlignment="1" applyProtection="1">
      <alignment horizontal="left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NumberFormat="1" applyFont="1" applyFill="1" applyBorder="1" applyAlignment="1" applyProtection="1">
      <alignment horizontal="right" vertical="center" indent="1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43" fontId="14" fillId="0" borderId="0" xfId="0" applyNumberFormat="1" applyFont="1" applyFill="1" applyBorder="1" applyAlignment="1" applyProtection="1">
      <alignment horizontal="right" vertical="center" wrapText="1"/>
      <protection/>
    </xf>
    <xf numFmtId="43" fontId="14" fillId="0" borderId="0" xfId="0" applyNumberFormat="1" applyFont="1" applyFill="1" applyBorder="1" applyAlignment="1" applyProtection="1">
      <alignment horizontal="right" vertical="center" indent="1"/>
      <protection/>
    </xf>
    <xf numFmtId="2" fontId="14" fillId="0" borderId="0" xfId="0" applyNumberFormat="1" applyFont="1" applyFill="1" applyBorder="1" applyAlignment="1" applyProtection="1">
      <alignment vertical="center"/>
      <protection/>
    </xf>
    <xf numFmtId="4" fontId="14" fillId="0" borderId="0" xfId="0" applyNumberFormat="1" applyFont="1" applyFill="1" applyBorder="1" applyAlignment="1" applyProtection="1">
      <alignment horizontal="right" vertical="center" inden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43" fontId="14" fillId="0" borderId="0" xfId="0" applyNumberFormat="1" applyFont="1" applyAlignment="1" applyProtection="1">
      <alignment horizontal="center" vertical="center"/>
      <protection/>
    </xf>
    <xf numFmtId="2" fontId="14" fillId="0" borderId="0" xfId="0" applyNumberFormat="1" applyFont="1" applyAlignment="1" applyProtection="1">
      <alignment horizontal="right" vertical="center" wrapText="1"/>
      <protection/>
    </xf>
    <xf numFmtId="43" fontId="14" fillId="0" borderId="0" xfId="0" applyNumberFormat="1" applyFont="1" applyFill="1" applyAlignment="1" applyProtection="1">
      <alignment horizontal="right" vertical="center" wrapText="1"/>
      <protection/>
    </xf>
    <xf numFmtId="3" fontId="14" fillId="0" borderId="0" xfId="0" applyNumberFormat="1" applyFont="1" applyAlignment="1" applyProtection="1">
      <alignment horizontal="center" vertical="center" wrapText="1"/>
      <protection/>
    </xf>
    <xf numFmtId="3" fontId="14" fillId="0" borderId="0" xfId="0" applyNumberFormat="1" applyFont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171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center" wrapText="1" inden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16" applyNumberFormat="1" applyFont="1" applyFill="1" applyBorder="1" applyAlignment="1" applyProtection="1">
      <alignment horizontal="righ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vertical="center"/>
      <protection/>
    </xf>
    <xf numFmtId="43" fontId="14" fillId="0" borderId="0" xfId="0" applyNumberFormat="1" applyFont="1" applyAlignment="1" applyProtection="1">
      <alignment vertical="center" wrapText="1"/>
      <protection/>
    </xf>
    <xf numFmtId="0" fontId="14" fillId="0" borderId="0" xfId="0" applyNumberFormat="1" applyFont="1" applyAlignment="1" applyProtection="1">
      <alignment horizontal="center" vertical="center" wrapText="1"/>
      <protection/>
    </xf>
    <xf numFmtId="0" fontId="36" fillId="0" borderId="19" xfId="0" applyFont="1" applyBorder="1" applyAlignment="1" applyProtection="1">
      <alignment horizontal="center" vertical="center"/>
      <protection/>
    </xf>
    <xf numFmtId="43" fontId="14" fillId="0" borderId="0" xfId="0" applyNumberFormat="1" applyFont="1" applyAlignment="1" applyProtection="1">
      <alignment vertical="center"/>
      <protection/>
    </xf>
    <xf numFmtId="0" fontId="36" fillId="0" borderId="0" xfId="0" applyNumberFormat="1" applyFont="1" applyAlignment="1" applyProtection="1">
      <alignment horizontal="center" vertical="center"/>
      <protection/>
    </xf>
    <xf numFmtId="43" fontId="14" fillId="0" borderId="0" xfId="0" applyNumberFormat="1" applyFont="1" applyAlignment="1" applyProtection="1">
      <alignment horizontal="right" vertical="center"/>
      <protection/>
    </xf>
    <xf numFmtId="43" fontId="14" fillId="0" borderId="0" xfId="0" applyNumberFormat="1" applyFont="1" applyFill="1" applyAlignment="1" applyProtection="1">
      <alignment vertical="center" wrapText="1"/>
      <protection/>
    </xf>
    <xf numFmtId="0" fontId="14" fillId="0" borderId="19" xfId="0" applyFont="1" applyBorder="1" applyAlignment="1" applyProtection="1">
      <alignment horizontal="center" vertical="center"/>
      <protection/>
    </xf>
    <xf numFmtId="43" fontId="1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25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164" fontId="5" fillId="0" borderId="25" xfId="0" applyNumberFormat="1" applyFont="1" applyFill="1" applyBorder="1" applyAlignment="1" applyProtection="1">
      <alignment vertical="center"/>
      <protection/>
    </xf>
    <xf numFmtId="14" fontId="5" fillId="3" borderId="26" xfId="0" applyNumberFormat="1" applyFont="1" applyFill="1" applyBorder="1" applyAlignment="1" applyProtection="1">
      <alignment horizontal="center"/>
      <protection/>
    </xf>
    <xf numFmtId="14" fontId="5" fillId="3" borderId="27" xfId="0" applyNumberFormat="1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2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10" fontId="21" fillId="2" borderId="1" xfId="0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vertical="center" wrapText="1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19" xfId="0" applyNumberFormat="1" applyFont="1" applyFill="1" applyBorder="1" applyAlignment="1" applyProtection="1">
      <alignment horizontal="center" vertical="center"/>
      <protection/>
    </xf>
    <xf numFmtId="3" fontId="16" fillId="0" borderId="19" xfId="0" applyNumberFormat="1" applyFont="1" applyBorder="1" applyAlignment="1" applyProtection="1">
      <alignment horizontal="center" vertical="center" wrapText="1"/>
      <protection/>
    </xf>
    <xf numFmtId="10" fontId="5" fillId="2" borderId="0" xfId="0" applyNumberFormat="1" applyFont="1" applyFill="1" applyBorder="1" applyAlignment="1" applyProtection="1">
      <alignment vertical="center"/>
      <protection/>
    </xf>
    <xf numFmtId="1" fontId="21" fillId="2" borderId="21" xfId="0" applyNumberFormat="1" applyFont="1" applyFill="1" applyBorder="1" applyAlignment="1" applyProtection="1">
      <alignment horizontal="center" vertical="center"/>
      <protection/>
    </xf>
    <xf numFmtId="41" fontId="2" fillId="2" borderId="1" xfId="0" applyNumberFormat="1" applyFont="1" applyFill="1" applyBorder="1" applyAlignment="1">
      <alignment horizontal="right" vertical="center"/>
    </xf>
    <xf numFmtId="10" fontId="21" fillId="2" borderId="0" xfId="0" applyNumberFormat="1" applyFont="1" applyFill="1" applyBorder="1" applyAlignment="1" applyProtection="1">
      <alignment vertical="center"/>
      <protection/>
    </xf>
    <xf numFmtId="175" fontId="21" fillId="2" borderId="21" xfId="0" applyNumberFormat="1" applyFont="1" applyFill="1" applyBorder="1" applyAlignment="1" applyProtection="1">
      <alignment horizontal="center" vertical="center" wrapText="1"/>
      <protection/>
    </xf>
    <xf numFmtId="2" fontId="21" fillId="0" borderId="0" xfId="0" applyNumberFormat="1" applyFont="1" applyAlignment="1">
      <alignment vertical="center"/>
    </xf>
    <xf numFmtId="0" fontId="5" fillId="0" borderId="0" xfId="0" applyFont="1" applyAlignment="1" quotePrefix="1">
      <alignment vertical="top"/>
    </xf>
    <xf numFmtId="1" fontId="21" fillId="0" borderId="0" xfId="0" applyNumberFormat="1" applyFont="1" applyAlignment="1">
      <alignment vertical="center"/>
    </xf>
    <xf numFmtId="0" fontId="21" fillId="3" borderId="2" xfId="0" applyNumberFormat="1" applyFont="1" applyFill="1" applyBorder="1" applyAlignment="1" applyProtection="1">
      <alignment horizontal="center" vertical="center" wrapText="1"/>
      <protection/>
    </xf>
    <xf numFmtId="43" fontId="13" fillId="3" borderId="12" xfId="0" applyNumberFormat="1" applyFont="1" applyFill="1" applyBorder="1" applyAlignment="1" applyProtection="1">
      <alignment horizontal="center" vertical="center"/>
      <protection/>
    </xf>
    <xf numFmtId="0" fontId="21" fillId="3" borderId="29" xfId="0" applyNumberFormat="1" applyFont="1" applyFill="1" applyBorder="1" applyAlignment="1" applyProtection="1">
      <alignment horizontal="center" vertical="center" wrapText="1"/>
      <protection/>
    </xf>
    <xf numFmtId="171" fontId="5" fillId="0" borderId="0" xfId="0" applyNumberFormat="1" applyFont="1" applyBorder="1" applyAlignment="1" applyProtection="1">
      <alignment horizontal="left" vertical="center"/>
      <protection/>
    </xf>
    <xf numFmtId="0" fontId="21" fillId="3" borderId="4" xfId="0" applyFont="1" applyFill="1" applyBorder="1" applyAlignment="1" applyProtection="1">
      <alignment horizontal="center" vertical="center" wrapText="1"/>
      <protection/>
    </xf>
    <xf numFmtId="0" fontId="21" fillId="3" borderId="12" xfId="0" applyFont="1" applyFill="1" applyBorder="1" applyAlignment="1" applyProtection="1">
      <alignment horizontal="center" vertical="center" wrapText="1"/>
      <protection/>
    </xf>
    <xf numFmtId="0" fontId="27" fillId="2" borderId="1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43" fontId="3" fillId="2" borderId="1" xfId="16" applyFont="1" applyFill="1" applyBorder="1" applyAlignment="1">
      <alignment horizontal="center" vertical="center" textRotation="90"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1" fillId="3" borderId="4" xfId="0" applyNumberFormat="1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/>
    </xf>
    <xf numFmtId="0" fontId="13" fillId="2" borderId="9" xfId="0" applyFont="1" applyFill="1" applyBorder="1" applyAlignment="1" applyProtection="1">
      <alignment horizontal="center" vertical="center" textRotation="90" wrapText="1"/>
      <protection hidden="1"/>
    </xf>
    <xf numFmtId="0" fontId="13" fillId="2" borderId="13" xfId="0" applyFont="1" applyFill="1" applyBorder="1" applyAlignment="1" applyProtection="1">
      <alignment horizontal="center" vertical="center" textRotation="90" wrapText="1"/>
      <protection hidden="1"/>
    </xf>
    <xf numFmtId="0" fontId="13" fillId="2" borderId="18" xfId="0" applyFont="1" applyFill="1" applyBorder="1" applyAlignment="1" applyProtection="1">
      <alignment horizontal="center" vertical="center" textRotation="90" wrapText="1"/>
      <protection hidden="1"/>
    </xf>
    <xf numFmtId="0" fontId="2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center" vertical="top"/>
    </xf>
    <xf numFmtId="0" fontId="12" fillId="0" borderId="25" xfId="0" applyFont="1" applyBorder="1" applyAlignment="1" applyProtection="1">
      <alignment horizontal="center" vertical="top"/>
      <protection locked="0"/>
    </xf>
    <xf numFmtId="0" fontId="12" fillId="2" borderId="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1" fillId="3" borderId="2" xfId="0" applyFont="1" applyFill="1" applyBorder="1" applyAlignment="1" applyProtection="1">
      <alignment horizontal="center" vertical="center" wrapText="1"/>
      <protection/>
    </xf>
    <xf numFmtId="0" fontId="21" fillId="3" borderId="9" xfId="0" applyNumberFormat="1" applyFont="1" applyFill="1" applyBorder="1" applyAlignment="1" applyProtection="1">
      <alignment horizontal="center" vertical="center" wrapText="1"/>
      <protection/>
    </xf>
    <xf numFmtId="0" fontId="21" fillId="3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left" vertical="center" wrapText="1"/>
      <protection/>
    </xf>
    <xf numFmtId="2" fontId="21" fillId="3" borderId="22" xfId="0" applyNumberFormat="1" applyFont="1" applyFill="1" applyBorder="1" applyAlignment="1" applyProtection="1">
      <alignment horizontal="center" vertical="center" wrapText="1"/>
      <protection/>
    </xf>
    <xf numFmtId="0" fontId="21" fillId="3" borderId="23" xfId="0" applyNumberFormat="1" applyFont="1" applyFill="1" applyBorder="1" applyAlignment="1" applyProtection="1">
      <alignment horizontal="center" vertical="center" wrapText="1"/>
      <protection/>
    </xf>
    <xf numFmtId="43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 wrapText="1"/>
      <protection/>
    </xf>
    <xf numFmtId="0" fontId="26" fillId="0" borderId="15" xfId="0" applyFont="1" applyBorder="1" applyAlignment="1" applyProtection="1">
      <alignment horizontal="left" vertical="center" wrapText="1"/>
      <protection/>
    </xf>
    <xf numFmtId="43" fontId="21" fillId="3" borderId="1" xfId="0" applyNumberFormat="1" applyFont="1" applyFill="1" applyBorder="1" applyAlignment="1" applyProtection="1">
      <alignment horizontal="center" vertical="center" wrapText="1"/>
      <protection/>
    </xf>
    <xf numFmtId="9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wrapText="1"/>
      <protection/>
    </xf>
    <xf numFmtId="0" fontId="13" fillId="0" borderId="15" xfId="0" applyFont="1" applyBorder="1" applyAlignment="1" applyProtection="1">
      <alignment horizontal="left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43" fontId="5" fillId="2" borderId="4" xfId="0" applyNumberFormat="1" applyFont="1" applyFill="1" applyBorder="1" applyAlignment="1" applyProtection="1">
      <alignment vertical="center"/>
      <protection/>
    </xf>
    <xf numFmtId="43" fontId="5" fillId="2" borderId="2" xfId="0" applyNumberFormat="1" applyFont="1" applyFill="1" applyBorder="1" applyAlignment="1" applyProtection="1">
      <alignment vertical="center"/>
      <protection/>
    </xf>
    <xf numFmtId="0" fontId="13" fillId="3" borderId="12" xfId="0" applyFont="1" applyFill="1" applyBorder="1" applyAlignment="1" applyProtection="1">
      <alignment horizontal="center" vertical="center" wrapText="1"/>
      <protection/>
    </xf>
    <xf numFmtId="0" fontId="21" fillId="3" borderId="30" xfId="0" applyFont="1" applyFill="1" applyBorder="1" applyAlignment="1" applyProtection="1">
      <alignment horizontal="center" vertical="center" textRotation="90" wrapText="1"/>
      <protection/>
    </xf>
    <xf numFmtId="0" fontId="21" fillId="3" borderId="31" xfId="0" applyFont="1" applyFill="1" applyBorder="1" applyAlignment="1" applyProtection="1">
      <alignment horizontal="center" vertical="center" textRotation="90" wrapText="1"/>
      <protection/>
    </xf>
    <xf numFmtId="0" fontId="21" fillId="3" borderId="9" xfId="0" applyFont="1" applyFill="1" applyBorder="1" applyAlignment="1" applyProtection="1">
      <alignment horizontal="center" vertical="center" wrapText="1"/>
      <protection/>
    </xf>
    <xf numFmtId="0" fontId="21" fillId="3" borderId="18" xfId="0" applyFont="1" applyFill="1" applyBorder="1" applyAlignment="1" applyProtection="1">
      <alignment horizontal="center" vertical="center" wrapText="1"/>
      <protection/>
    </xf>
    <xf numFmtId="0" fontId="21" fillId="3" borderId="22" xfId="0" applyFont="1" applyFill="1" applyBorder="1" applyAlignment="1" applyProtection="1">
      <alignment horizontal="center" vertical="center" textRotation="90" wrapText="1"/>
      <protection/>
    </xf>
    <xf numFmtId="0" fontId="21" fillId="3" borderId="23" xfId="0" applyFont="1" applyFill="1" applyBorder="1" applyAlignment="1" applyProtection="1">
      <alignment horizontal="center" vertical="center" textRotation="90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top"/>
      <protection/>
    </xf>
    <xf numFmtId="0" fontId="13" fillId="3" borderId="12" xfId="0" applyFont="1" applyFill="1" applyBorder="1" applyAlignment="1" applyProtection="1">
      <alignment horizontal="center" vertical="top"/>
      <protection/>
    </xf>
    <xf numFmtId="0" fontId="13" fillId="3" borderId="2" xfId="0" applyFont="1" applyFill="1" applyBorder="1" applyAlignment="1" applyProtection="1">
      <alignment horizontal="center" vertical="top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3" fillId="3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3" fillId="5" borderId="4" xfId="0" applyFont="1" applyFill="1" applyBorder="1" applyAlignment="1" applyProtection="1">
      <alignment horizontal="center" vertical="top"/>
      <protection/>
    </xf>
    <xf numFmtId="0" fontId="13" fillId="5" borderId="12" xfId="0" applyFont="1" applyFill="1" applyBorder="1" applyAlignment="1" applyProtection="1">
      <alignment horizontal="center" vertical="top"/>
      <protection/>
    </xf>
    <xf numFmtId="0" fontId="13" fillId="5" borderId="2" xfId="0" applyFont="1" applyFill="1" applyBorder="1" applyAlignment="1" applyProtection="1">
      <alignment horizontal="center" vertical="top"/>
      <protection/>
    </xf>
    <xf numFmtId="43" fontId="21" fillId="3" borderId="9" xfId="0" applyNumberFormat="1" applyFont="1" applyFill="1" applyBorder="1" applyAlignment="1" applyProtection="1">
      <alignment horizontal="center" vertical="center" wrapText="1"/>
      <protection/>
    </xf>
    <xf numFmtId="43" fontId="21" fillId="3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top" wrapText="1"/>
      <protection/>
    </xf>
    <xf numFmtId="171" fontId="13" fillId="3" borderId="1" xfId="0" applyNumberFormat="1" applyFont="1" applyFill="1" applyBorder="1" applyAlignment="1" applyProtection="1">
      <alignment horizontal="center" vertic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wrapText="1"/>
      <protection/>
    </xf>
    <xf numFmtId="0" fontId="5" fillId="0" borderId="25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13" fillId="3" borderId="24" xfId="0" applyFont="1" applyFill="1" applyBorder="1" applyAlignment="1" applyProtection="1">
      <alignment horizontal="center" vertical="center" wrapText="1"/>
      <protection/>
    </xf>
    <xf numFmtId="0" fontId="13" fillId="3" borderId="25" xfId="0" applyFont="1" applyFill="1" applyBorder="1" applyAlignment="1" applyProtection="1">
      <alignment horizontal="center" vertical="center" wrapText="1"/>
      <protection/>
    </xf>
    <xf numFmtId="0" fontId="13" fillId="3" borderId="22" xfId="0" applyFont="1" applyFill="1" applyBorder="1" applyAlignment="1" applyProtection="1">
      <alignment horizontal="center" vertical="center" wrapText="1"/>
      <protection/>
    </xf>
    <xf numFmtId="0" fontId="13" fillId="3" borderId="7" xfId="0" applyFont="1" applyFill="1" applyBorder="1" applyAlignment="1" applyProtection="1">
      <alignment horizontal="center" vertical="center" wrapText="1"/>
      <protection/>
    </xf>
    <xf numFmtId="0" fontId="13" fillId="3" borderId="8" xfId="0" applyFont="1" applyFill="1" applyBorder="1" applyAlignment="1" applyProtection="1">
      <alignment horizontal="center" vertical="center" wrapText="1"/>
      <protection/>
    </xf>
    <xf numFmtId="0" fontId="13" fillId="3" borderId="23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/>
      <protection/>
    </xf>
    <xf numFmtId="0" fontId="13" fillId="3" borderId="12" xfId="0" applyFont="1" applyFill="1" applyBorder="1" applyAlignment="1" applyProtection="1">
      <alignment horizontal="center" vertical="center"/>
      <protection/>
    </xf>
    <xf numFmtId="0" fontId="13" fillId="3" borderId="2" xfId="0" applyFont="1" applyFill="1" applyBorder="1" applyAlignment="1" applyProtection="1">
      <alignment horizontal="center" vertical="center"/>
      <protection/>
    </xf>
    <xf numFmtId="0" fontId="13" fillId="5" borderId="4" xfId="0" applyFont="1" applyFill="1" applyBorder="1" applyAlignment="1" applyProtection="1">
      <alignment horizontal="center" vertical="center"/>
      <protection/>
    </xf>
    <xf numFmtId="0" fontId="13" fillId="5" borderId="12" xfId="0" applyFont="1" applyFill="1" applyBorder="1" applyAlignment="1" applyProtection="1">
      <alignment horizontal="center" vertical="center"/>
      <protection/>
    </xf>
    <xf numFmtId="0" fontId="13" fillId="5" borderId="2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vertical="center"/>
    </xf>
    <xf numFmtId="0" fontId="13" fillId="3" borderId="4" xfId="0" applyFont="1" applyFill="1" applyBorder="1" applyAlignment="1" applyProtection="1">
      <alignment horizontal="left" vertical="center" wrapText="1"/>
      <protection/>
    </xf>
    <xf numFmtId="0" fontId="13" fillId="3" borderId="2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3">
    <dxf>
      <font>
        <color rgb="FFFFFFFF"/>
      </font>
      <fill>
        <patternFill>
          <bgColor rgb="FF800000"/>
        </patternFill>
      </fill>
      <border/>
    </dxf>
    <dxf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i\RICERCA\normativa\REGOLAMENTO\GOLD%20e%20modulistica\rendiconto%20modulistica\All_2_analisi_spese_proget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llustrativa"/>
      <sheetName val="riepilogo"/>
      <sheetName val="fasi"/>
      <sheetName val="a1)ricercatori"/>
      <sheetName val="b1)spesegenerali"/>
      <sheetName val="c1)manodopera"/>
      <sheetName val="d1)terzi"/>
      <sheetName val="e1)immateriali"/>
      <sheetName val="f1)strumenti"/>
      <sheetName val="g1)materiali"/>
      <sheetName val="h1)recuperi"/>
      <sheetName val="a2)ricercatori"/>
      <sheetName val="b2)spesegenerali"/>
      <sheetName val="c2)manodopera"/>
      <sheetName val="d2)terzi"/>
      <sheetName val="e2)immateriali"/>
      <sheetName val="f2)strumenti"/>
      <sheetName val="g2)materiali"/>
      <sheetName val="h2)recup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43"/>
  </sheetPr>
  <dimension ref="A1:O54"/>
  <sheetViews>
    <sheetView tabSelected="1" workbookViewId="0" topLeftCell="A1">
      <selection activeCell="B4" sqref="B4:B6"/>
    </sheetView>
  </sheetViews>
  <sheetFormatPr defaultColWidth="9.140625" defaultRowHeight="12.75"/>
  <cols>
    <col min="1" max="1" width="9.57421875" style="1" customWidth="1"/>
    <col min="2" max="2" width="4.00390625" style="1" customWidth="1"/>
    <col min="3" max="3" width="33.00390625" style="1" bestFit="1" customWidth="1"/>
    <col min="4" max="4" width="17.57421875" style="1" bestFit="1" customWidth="1"/>
    <col min="5" max="5" width="17.57421875" style="1" customWidth="1"/>
    <col min="6" max="6" width="9.7109375" style="1" customWidth="1"/>
    <col min="7" max="7" width="6.140625" style="309" hidden="1" customWidth="1"/>
    <col min="8" max="8" width="6.00390625" style="318" hidden="1" customWidth="1"/>
    <col min="9" max="9" width="8.00390625" style="309" hidden="1" customWidth="1"/>
    <col min="10" max="10" width="5.57421875" style="115" hidden="1" customWidth="1"/>
    <col min="11" max="11" width="0.71875" style="127" hidden="1" customWidth="1"/>
    <col min="12" max="12" width="18.28125" style="115" hidden="1" customWidth="1"/>
    <col min="13" max="13" width="17.57421875" style="309" hidden="1" customWidth="1"/>
    <col min="14" max="14" width="0.71875" style="318" hidden="1" customWidth="1"/>
    <col min="15" max="15" width="16.57421875" style="115" hidden="1" customWidth="1"/>
    <col min="16" max="16384" width="9.140625" style="1" customWidth="1"/>
  </cols>
  <sheetData>
    <row r="1" spans="1:15" s="4" customFormat="1" ht="23.25" customHeight="1" thickBot="1" thickTop="1">
      <c r="A1" s="470" t="s">
        <v>173</v>
      </c>
      <c r="B1" s="635" t="s">
        <v>38</v>
      </c>
      <c r="C1" s="636"/>
      <c r="D1" s="636"/>
      <c r="E1" s="637"/>
      <c r="F1" s="469"/>
      <c r="G1" s="601"/>
      <c r="H1" s="338"/>
      <c r="I1" s="338"/>
      <c r="J1" s="338"/>
      <c r="K1" s="340" t="s">
        <v>87</v>
      </c>
      <c r="L1" s="340"/>
      <c r="M1" s="340"/>
      <c r="N1" s="338"/>
      <c r="O1" s="339"/>
    </row>
    <row r="2" spans="2:6" s="463" customFormat="1" ht="21" customHeight="1" thickTop="1">
      <c r="B2" s="634" t="s">
        <v>131</v>
      </c>
      <c r="C2" s="634"/>
      <c r="D2" s="634"/>
      <c r="E2" s="634"/>
      <c r="F2" s="520"/>
    </row>
    <row r="3" spans="1:14" s="4" customFormat="1" ht="17.25" customHeight="1">
      <c r="A3" s="10"/>
      <c r="B3" s="466"/>
      <c r="C3" s="467"/>
      <c r="D3" s="468"/>
      <c r="E3" s="468"/>
      <c r="G3" s="309"/>
      <c r="H3" s="318"/>
      <c r="I3" s="309"/>
      <c r="J3" s="112"/>
      <c r="K3" s="307"/>
      <c r="L3" s="113"/>
      <c r="M3" s="309"/>
      <c r="N3" s="318"/>
    </row>
    <row r="4" spans="1:14" s="9" customFormat="1" ht="18.75" customHeight="1">
      <c r="A4" s="702">
        <f>IF(titoloriepilogo1="progetto di ricerca e sviluppo","R",IF(titoloriepilogo1="progetto di innovazione","I",""))</f>
      </c>
      <c r="B4" s="628" t="s">
        <v>180</v>
      </c>
      <c r="C4" s="461" t="s">
        <v>130</v>
      </c>
      <c r="D4" s="462" t="str">
        <f>"inizio e fine "&amp;IF(titoloriepilogo1="progetto di ricerca e sviluppo","Ricerca",IF(titoloriepilogo1="progetto di innovazione","
Innovazione processi",""))</f>
        <v>inizio e fine </v>
      </c>
      <c r="E4" s="462" t="str">
        <f>"inizio e fine "&amp;IF(titoloriepilogo1="progetto di ricerca e sviluppo","Sviluppo",IF(titoloriepilogo1="progetto di innovazione","
Innovazione organizz.",""))</f>
        <v>inizio e fine </v>
      </c>
      <c r="G4" s="309"/>
      <c r="H4" s="318"/>
      <c r="I4" s="309"/>
      <c r="J4" s="110"/>
      <c r="K4" s="305"/>
      <c r="L4" s="110"/>
      <c r="M4" s="309"/>
      <c r="N4" s="318"/>
    </row>
    <row r="5" spans="1:14" s="4" customFormat="1" ht="12" customHeight="1">
      <c r="A5" s="465"/>
      <c r="B5" s="629"/>
      <c r="C5" s="521"/>
      <c r="D5" s="521"/>
      <c r="E5" s="521"/>
      <c r="G5" s="309"/>
      <c r="H5" s="318"/>
      <c r="I5" s="309"/>
      <c r="J5" s="111"/>
      <c r="K5" s="306"/>
      <c r="L5" s="113"/>
      <c r="M5" s="309"/>
      <c r="N5" s="318"/>
    </row>
    <row r="6" spans="1:14" s="4" customFormat="1" ht="12" customHeight="1">
      <c r="A6" s="464"/>
      <c r="B6" s="630"/>
      <c r="C6" s="521"/>
      <c r="D6" s="521"/>
      <c r="E6" s="522"/>
      <c r="G6" s="309"/>
      <c r="H6" s="318"/>
      <c r="I6" s="309"/>
      <c r="J6" s="112"/>
      <c r="K6" s="307"/>
      <c r="L6" s="113"/>
      <c r="M6" s="309"/>
      <c r="N6" s="318"/>
    </row>
    <row r="7" spans="1:11" ht="12" customHeight="1">
      <c r="A7" s="1" t="s">
        <v>36</v>
      </c>
      <c r="C7" s="611" t="s">
        <v>181</v>
      </c>
      <c r="D7" s="2"/>
      <c r="J7" s="114"/>
      <c r="K7" s="303"/>
    </row>
    <row r="8" spans="2:15" ht="26.25" customHeight="1">
      <c r="B8" s="627" t="s">
        <v>3</v>
      </c>
      <c r="C8" s="627"/>
      <c r="D8" s="14">
        <f>IF(scelta="R","ricerca",IF(scelta="I","innovazione processi",""))</f>
      </c>
      <c r="E8" s="14">
        <f>IF(scelta="R","sviluppo",IF(scelta="I","innovazione organizzazione",""))</f>
      </c>
      <c r="F8" s="132"/>
      <c r="G8" s="301" t="s">
        <v>175</v>
      </c>
      <c r="H8" s="301" t="s">
        <v>176</v>
      </c>
      <c r="I8" s="346" t="s">
        <v>103</v>
      </c>
      <c r="J8" s="302" t="s">
        <v>177</v>
      </c>
      <c r="K8" s="295"/>
      <c r="L8" s="121">
        <f>IF(scelta="R","ricerca",IF(scelta="I","innovazione processi",""))</f>
      </c>
      <c r="M8" s="121">
        <f>IF(scelta="R","sviluppo",IF(scelta="I","innovazione organizzazione",""))</f>
      </c>
      <c r="N8" s="341"/>
      <c r="O8" s="167" t="s">
        <v>59</v>
      </c>
    </row>
    <row r="9" spans="2:15" ht="15" customHeight="1">
      <c r="B9" s="626" t="s">
        <v>4</v>
      </c>
      <c r="C9" s="98" t="s">
        <v>14</v>
      </c>
      <c r="D9" s="99">
        <f>'ab)personale'!H29</f>
        <v>0</v>
      </c>
      <c r="E9" s="99">
        <f>'ab)personale'!H30</f>
        <v>0</v>
      </c>
      <c r="F9" s="297"/>
      <c r="G9" s="310">
        <f>ROUNDDOWN(IF((L9+M9)&gt;0,'ab)personale'!L31/E36,0),4)</f>
        <v>0</v>
      </c>
      <c r="H9" s="335"/>
      <c r="I9" s="311">
        <f>'ab)personale'!$O31</f>
        <v>0</v>
      </c>
      <c r="J9" s="312">
        <f>ROUNDDOWN(IF('ab)personale'!R31&gt;0,'ab)personale'!R31/I36,0),4)</f>
        <v>0</v>
      </c>
      <c r="K9" s="313"/>
      <c r="L9" s="116">
        <f>'ab)personale'!V29</f>
        <v>0</v>
      </c>
      <c r="M9" s="116">
        <f>'ab)personale'!V30</f>
        <v>0</v>
      </c>
      <c r="N9" s="342"/>
      <c r="O9" s="454"/>
    </row>
    <row r="10" spans="2:15" ht="15" customHeight="1">
      <c r="B10" s="626"/>
      <c r="C10" s="98" t="s">
        <v>90</v>
      </c>
      <c r="D10" s="99">
        <f>IF(percentuale=0,'c)spesegenerali'!K24,IF('ab)personale'!H31&gt;0,ROUND('c)spesegenerali'!K7*'ab)personale'!H29/'ab)personale'!H31,2),0))</f>
        <v>0</v>
      </c>
      <c r="E10" s="99">
        <f>IF(percentuale=0,'c)spesegenerali'!K25,IF('ab)personale'!H31&gt;0,ROUND('c)spesegenerali'!K7*'ab)personale'!H30/'ab)personale'!H31,2),0))</f>
        <v>0</v>
      </c>
      <c r="F10" s="297"/>
      <c r="G10" s="310">
        <f>ROUNDDOWN(IF((L10+M10)&gt;0,IF(percentuale&gt;0,0,'c)spesegenerali'!O25/E36),0),4)</f>
        <v>0</v>
      </c>
      <c r="H10" s="325">
        <f>ROUNDDOWN(IF((L10+M10)&gt;0,IF(percentuale&gt;0,0,'c)spesegenerali'!O24/E38),0),4)</f>
        <v>0</v>
      </c>
      <c r="I10" s="311">
        <f>IF(percentuale&gt;0,'c)spesegenerali'!T7,'c)spesegenerali'!Q26)</f>
        <v>0</v>
      </c>
      <c r="J10" s="312">
        <f>ROUNDDOWN(IF((L10+M10)&gt;0,IF(percentuale&gt;0,0,'c)spesegenerali'!S25/I36),0),4)</f>
        <v>0</v>
      </c>
      <c r="K10" s="313"/>
      <c r="L10" s="116">
        <f>IF(percentualeammessa=0,'c)spesegenerali'!U24,IF('ab)personale'!V31&gt;0,ROUND('c)spesegenerali'!T7*'ab)personale'!V29/'ab)personale'!V31,2),0))</f>
        <v>0</v>
      </c>
      <c r="M10" s="116">
        <f>IF(percentualeammessa=0,'c)spesegenerali'!U25,IF('ab)personale'!V31&gt;0,ROUND('c)spesegenerali'!T7*'ab)personale'!V30/'ab)personale'!V31,2),0))</f>
        <v>0</v>
      </c>
      <c r="N10" s="342"/>
      <c r="O10" s="455">
        <f>IF('c)spesegenerali'!N26&gt;0,ROUND('c)spesegenerali'!O25/'c)spesegenerali'!N26*100,2)&amp;" % su spese gen.","")</f>
      </c>
    </row>
    <row r="11" spans="2:15" ht="15" customHeight="1">
      <c r="B11" s="626"/>
      <c r="C11" s="98" t="s">
        <v>91</v>
      </c>
      <c r="D11" s="99">
        <f>'ab)personale'!H43</f>
        <v>0</v>
      </c>
      <c r="E11" s="99">
        <f>'ab)personale'!H44</f>
        <v>0</v>
      </c>
      <c r="F11" s="297"/>
      <c r="G11" s="310">
        <f>ROUNDDOWN(IF((L11+M11)&gt;0,'ab)personale'!L45/E36,0),4)</f>
        <v>0</v>
      </c>
      <c r="H11" s="335"/>
      <c r="I11" s="311">
        <f>'ab)personale'!O45</f>
        <v>0</v>
      </c>
      <c r="J11" s="312">
        <f>ROUNDDOWN(IF('ab)personale'!R45&gt;0,'ab)personale'!R45/I36,0),4)</f>
        <v>0</v>
      </c>
      <c r="K11" s="313"/>
      <c r="L11" s="116">
        <f>'ab)personale'!V43</f>
        <v>0</v>
      </c>
      <c r="M11" s="116">
        <f>'ab)personale'!V44</f>
        <v>0</v>
      </c>
      <c r="N11" s="342"/>
      <c r="O11" s="454"/>
    </row>
    <row r="12" spans="2:15" ht="15" customHeight="1">
      <c r="B12" s="626"/>
      <c r="C12" s="98" t="s">
        <v>15</v>
      </c>
      <c r="D12" s="99">
        <f>'d)terzi'!K26</f>
        <v>0</v>
      </c>
      <c r="E12" s="99">
        <f>'d)terzi'!K27</f>
        <v>0</v>
      </c>
      <c r="F12" s="297"/>
      <c r="G12" s="310">
        <f>ROUNDDOWN(IF((L12+M12)&gt;0,'d)terzi'!O27/E36,0),4)</f>
        <v>0</v>
      </c>
      <c r="H12" s="325">
        <f>ROUNDDOWN(IF((L12+M12)&gt;0,'d)terzi'!O26/E38,0),4)</f>
        <v>0</v>
      </c>
      <c r="I12" s="311">
        <f>'d)terzi'!$Q28</f>
        <v>0</v>
      </c>
      <c r="J12" s="312">
        <f>ROUNDDOWN(IF((L12+M12)&gt;0,'d)terzi'!S27/I36,0),4)</f>
        <v>0</v>
      </c>
      <c r="K12" s="313"/>
      <c r="L12" s="116">
        <f>'d)terzi'!U26</f>
        <v>0</v>
      </c>
      <c r="M12" s="116">
        <f>'d)terzi'!U27</f>
        <v>0</v>
      </c>
      <c r="N12" s="342"/>
      <c r="O12" s="454"/>
    </row>
    <row r="13" spans="2:15" ht="15" customHeight="1">
      <c r="B13" s="626"/>
      <c r="C13" s="100" t="s">
        <v>16</v>
      </c>
      <c r="D13" s="101">
        <f>-('ab)personale'!I29+'ab)personale'!I43+'c)spesegenerali'!M24+'d)terzi'!M26)-IF('ab)personale'!H31&gt;0,ROUND('c)spesegenerali'!M7*'ab)personale'!H29/'ab)personale'!H31,2),0)</f>
        <v>0</v>
      </c>
      <c r="E13" s="101">
        <f>-('ab)personale'!I30+'ab)personale'!I44+'c)spesegenerali'!M25+'d)terzi'!M27)-IF('ab)personale'!H31&gt;0,ROUND('c)spesegenerali'!M7*'ab)personale'!H30/'ab)personale'!H31,2),0)</f>
        <v>0</v>
      </c>
      <c r="F13" s="298"/>
      <c r="G13" s="314" t="s">
        <v>81</v>
      </c>
      <c r="H13" s="336"/>
      <c r="I13" s="319" t="s">
        <v>81</v>
      </c>
      <c r="J13" s="315" t="s">
        <v>81</v>
      </c>
      <c r="K13" s="316"/>
      <c r="L13" s="101">
        <f>-('ab)personale'!W29+'ab)personale'!W43+'c)spesegenerali'!V24+'d)terzi'!V26)-IF('ab)personale'!W31&gt;0,ROUND('c)spesegenerali'!V7*'ab)personale'!V29/'ab)personale'!V31,2),0)</f>
        <v>0</v>
      </c>
      <c r="M13" s="101">
        <f>-('ab)personale'!W30+'ab)personale'!W44+'c)spesegenerali'!V25+'d)terzi'!V27)-IF('ab)personale'!W31&gt;0,ROUND('c)spesegenerali'!V7*'ab)personale'!V30/'ab)personale'!V31,2),0)</f>
        <v>0</v>
      </c>
      <c r="N13" s="343"/>
      <c r="O13" s="454"/>
    </row>
    <row r="14" spans="2:15" ht="15" customHeight="1">
      <c r="B14" s="626"/>
      <c r="C14" s="102" t="s">
        <v>33</v>
      </c>
      <c r="D14" s="103">
        <f>SUM(D9:D13)</f>
        <v>0</v>
      </c>
      <c r="E14" s="103">
        <f>SUM(E9:E13)</f>
        <v>0</v>
      </c>
      <c r="F14" s="299"/>
      <c r="G14" s="314" t="s">
        <v>81</v>
      </c>
      <c r="H14" s="336"/>
      <c r="I14" s="319" t="s">
        <v>81</v>
      </c>
      <c r="J14" s="315" t="s">
        <v>81</v>
      </c>
      <c r="K14" s="316"/>
      <c r="L14" s="117">
        <f>SUM(L9:L13)</f>
        <v>0</v>
      </c>
      <c r="M14" s="117">
        <f>SUM(M9:M13)</f>
        <v>0</v>
      </c>
      <c r="N14" s="344"/>
      <c r="O14" s="454"/>
    </row>
    <row r="15" spans="2:15" ht="15" customHeight="1">
      <c r="B15" s="626" t="s">
        <v>5</v>
      </c>
      <c r="C15" s="98" t="s">
        <v>19</v>
      </c>
      <c r="D15" s="99">
        <f>'e)immateriali'!$Q26</f>
        <v>0</v>
      </c>
      <c r="E15" s="99">
        <f>'e)immateriali'!$Q27</f>
        <v>0</v>
      </c>
      <c r="F15" s="297"/>
      <c r="G15" s="310">
        <f>ROUNDDOWN(IF((L15+M15)&gt;0,'e)immateriali'!T27/E36,0),4)</f>
        <v>0</v>
      </c>
      <c r="H15" s="325">
        <f>ROUNDDOWN(IF((L15+M15)&gt;0,'e)immateriali'!T26/E38,0),4)</f>
        <v>0</v>
      </c>
      <c r="I15" s="311">
        <f>'e)immateriali'!AD28</f>
        <v>0</v>
      </c>
      <c r="J15" s="312">
        <f>ROUNDDOWN(IF((L15+M15)&gt;0,'e)immateriali'!AE27/I36,0),4)</f>
        <v>0</v>
      </c>
      <c r="K15" s="313"/>
      <c r="L15" s="116">
        <f>'e)immateriali'!$AG26</f>
        <v>0</v>
      </c>
      <c r="M15" s="116">
        <f>'e)immateriali'!$AG27</f>
        <v>0</v>
      </c>
      <c r="N15" s="342"/>
      <c r="O15" s="454"/>
    </row>
    <row r="16" spans="2:15" ht="15" customHeight="1">
      <c r="B16" s="626"/>
      <c r="C16" s="98" t="s">
        <v>17</v>
      </c>
      <c r="D16" s="99">
        <f>'f)strumenti'!$Q26</f>
        <v>0</v>
      </c>
      <c r="E16" s="99">
        <f>'f)strumenti'!$Q27</f>
        <v>0</v>
      </c>
      <c r="F16" s="297"/>
      <c r="G16" s="310">
        <f>ROUNDDOWN(IF((L16+M16)&gt;0,'f)strumenti'!T27/E36,0),4)</f>
        <v>0</v>
      </c>
      <c r="H16" s="325">
        <f>ROUNDDOWN(IF((L16+M16)&gt;0,'f)strumenti'!T26/E38,0),4)</f>
        <v>0</v>
      </c>
      <c r="I16" s="311">
        <f>'f)strumenti'!AD28</f>
        <v>0</v>
      </c>
      <c r="J16" s="312">
        <f>ROUNDDOWN(IF((L16+M16)&gt;0,'f)strumenti'!AE27/I36,0),4)</f>
        <v>0</v>
      </c>
      <c r="K16" s="313"/>
      <c r="L16" s="116">
        <f>'f)strumenti'!$AG26</f>
        <v>0</v>
      </c>
      <c r="M16" s="116">
        <f>'f)strumenti'!$AG27</f>
        <v>0</v>
      </c>
      <c r="N16" s="342"/>
      <c r="O16" s="454"/>
    </row>
    <row r="17" spans="2:15" ht="15" customHeight="1">
      <c r="B17" s="626"/>
      <c r="C17" s="98" t="s">
        <v>37</v>
      </c>
      <c r="D17" s="99">
        <f>materiali+prelievi</f>
        <v>0</v>
      </c>
      <c r="E17" s="99">
        <f>'g)materiali'!K21+'g)materiali'!K29</f>
        <v>0</v>
      </c>
      <c r="F17" s="297"/>
      <c r="G17" s="310">
        <f>ROUNDDOWN(IF((L17+M17)&gt;0,('g)materiali'!O21+'g)materiali'!O29)/E36,0),4)</f>
        <v>0</v>
      </c>
      <c r="H17" s="325">
        <f>ROUNDDOWN(IF((L17+M17)&gt;0,('g)materiali'!O20+'g)materiali'!O28)/E38,0),4)</f>
        <v>0</v>
      </c>
      <c r="I17" s="311">
        <f>'g)materiali'!$Q22+'g)materiali'!$Q30</f>
        <v>0</v>
      </c>
      <c r="J17" s="312">
        <f>ROUNDDOWN(IF((L17+M17)&gt;0,('g)materiali'!S21+'g)materiali'!S29)/I36,0),4)</f>
        <v>0</v>
      </c>
      <c r="K17" s="313"/>
      <c r="L17" s="116">
        <f>materialiammessi+prelieviammessi</f>
        <v>0</v>
      </c>
      <c r="M17" s="116">
        <f>'g)materiali'!U21+'g)materiali'!U29</f>
        <v>0</v>
      </c>
      <c r="N17" s="342"/>
      <c r="O17" s="454"/>
    </row>
    <row r="18" spans="2:15" ht="15" customHeight="1">
      <c r="B18" s="626"/>
      <c r="C18" s="100" t="s">
        <v>16</v>
      </c>
      <c r="D18" s="101">
        <f>-('e)immateriali'!$R26+'f)strumenti'!$R26+'g)materiali'!$M20+'g)materiali'!$M28)</f>
        <v>0</v>
      </c>
      <c r="E18" s="101">
        <f>-('e)immateriali'!$R27+'f)strumenti'!$R27+'g)materiali'!$M21+'g)materiali'!$M29)</f>
        <v>0</v>
      </c>
      <c r="F18" s="298"/>
      <c r="G18" s="314" t="s">
        <v>81</v>
      </c>
      <c r="H18" s="336"/>
      <c r="I18" s="319" t="s">
        <v>81</v>
      </c>
      <c r="J18" s="315" t="s">
        <v>81</v>
      </c>
      <c r="K18" s="316"/>
      <c r="L18" s="101">
        <f>-('e)immateriali'!$AH26+'f)strumenti'!$AH26+'g)materiali'!$V20+'g)materiali'!$V28)</f>
        <v>0</v>
      </c>
      <c r="M18" s="101">
        <f>-('e)immateriali'!$AH27+'f)strumenti'!$AH27+'g)materiali'!$V21+'g)materiali'!$V29)</f>
        <v>0</v>
      </c>
      <c r="N18" s="343"/>
      <c r="O18" s="454"/>
    </row>
    <row r="19" spans="2:15" ht="15" customHeight="1">
      <c r="B19" s="626"/>
      <c r="C19" s="102" t="s">
        <v>34</v>
      </c>
      <c r="D19" s="103">
        <f>SUM(D15:D18)</f>
        <v>0</v>
      </c>
      <c r="E19" s="103">
        <f>SUM(E15:E18)</f>
        <v>0</v>
      </c>
      <c r="F19" s="299"/>
      <c r="G19" s="314" t="s">
        <v>81</v>
      </c>
      <c r="H19" s="336"/>
      <c r="I19" s="319" t="s">
        <v>81</v>
      </c>
      <c r="J19" s="315" t="s">
        <v>81</v>
      </c>
      <c r="K19" s="316"/>
      <c r="L19" s="117">
        <f>SUM(L15:L18)</f>
        <v>0</v>
      </c>
      <c r="M19" s="117">
        <f>SUM(M15:M18)</f>
        <v>0</v>
      </c>
      <c r="N19" s="344"/>
      <c r="O19" s="454"/>
    </row>
    <row r="20" spans="2:15" ht="22.5" customHeight="1">
      <c r="B20" s="638" t="s">
        <v>53</v>
      </c>
      <c r="C20" s="639"/>
      <c r="D20" s="11">
        <f>D14+D19</f>
        <v>0</v>
      </c>
      <c r="E20" s="11">
        <f>E14+E19</f>
        <v>0</v>
      </c>
      <c r="F20" s="297"/>
      <c r="G20" s="314" t="s">
        <v>81</v>
      </c>
      <c r="H20" s="336"/>
      <c r="I20" s="314" t="s">
        <v>81</v>
      </c>
      <c r="J20" s="319" t="s">
        <v>81</v>
      </c>
      <c r="K20" s="316"/>
      <c r="L20" s="118">
        <f>L14+L19</f>
        <v>0</v>
      </c>
      <c r="M20" s="118">
        <f>M14+M19</f>
        <v>0</v>
      </c>
      <c r="N20" s="342"/>
      <c r="O20" s="454"/>
    </row>
    <row r="21" spans="6:15" ht="3" customHeight="1">
      <c r="F21" s="300"/>
      <c r="I21" s="317"/>
      <c r="J21" s="309"/>
      <c r="K21" s="318"/>
      <c r="M21" s="115"/>
      <c r="N21" s="127"/>
      <c r="O21" s="322"/>
    </row>
    <row r="22" spans="2:15" s="3" customFormat="1" ht="18.75" customHeight="1">
      <c r="B22" s="1"/>
      <c r="C22" s="621" t="s">
        <v>132</v>
      </c>
      <c r="D22" s="621"/>
      <c r="E22" s="11">
        <f>$D$20+$E$20</f>
        <v>0</v>
      </c>
      <c r="F22" s="297"/>
      <c r="G22" s="319" t="s">
        <v>81</v>
      </c>
      <c r="H22" s="336"/>
      <c r="I22" s="456">
        <f>SUM(I9:I20)</f>
        <v>0</v>
      </c>
      <c r="J22" s="319" t="s">
        <v>81</v>
      </c>
      <c r="K22" s="320"/>
      <c r="L22" s="321"/>
      <c r="M22" s="118">
        <f>$L$20+$M$20</f>
        <v>0</v>
      </c>
      <c r="N22" s="342"/>
      <c r="O22" s="454"/>
    </row>
    <row r="23" spans="3:15" s="5" customFormat="1" ht="9" customHeight="1">
      <c r="C23" s="6"/>
      <c r="D23" s="7"/>
      <c r="E23" s="8"/>
      <c r="F23" s="8"/>
      <c r="G23" s="322"/>
      <c r="H23" s="318"/>
      <c r="I23" s="323"/>
      <c r="J23" s="322"/>
      <c r="K23" s="318"/>
      <c r="L23" s="119"/>
      <c r="M23" s="120"/>
      <c r="N23" s="120"/>
      <c r="O23" s="322"/>
    </row>
    <row r="24" spans="2:15" s="5" customFormat="1" ht="27" customHeight="1">
      <c r="B24" s="633" t="s">
        <v>39</v>
      </c>
      <c r="C24" s="633"/>
      <c r="D24" s="633"/>
      <c r="E24" s="633"/>
      <c r="F24" s="296"/>
      <c r="G24" s="322"/>
      <c r="H24" s="318"/>
      <c r="I24" s="324"/>
      <c r="J24" s="322"/>
      <c r="K24" s="318"/>
      <c r="L24" s="126"/>
      <c r="M24" s="127"/>
      <c r="N24" s="127"/>
      <c r="O24" s="322"/>
    </row>
    <row r="25" spans="2:15" ht="15" customHeight="1">
      <c r="B25" s="622"/>
      <c r="C25" s="631" t="s">
        <v>40</v>
      </c>
      <c r="D25" s="632"/>
      <c r="E25" s="99">
        <f>'i)industrializzazione'!M14</f>
        <v>0</v>
      </c>
      <c r="F25" s="297"/>
      <c r="G25" s="325">
        <f>ROUNDDOWN(IF(M25&gt;0,'i)industrializzazione'!N15/E36,0),4)</f>
        <v>0</v>
      </c>
      <c r="H25" s="325">
        <f>ROUNDDOWN(IF(M25&gt;0,'i)industrializzazione'!N14/E38,0),5)</f>
        <v>0</v>
      </c>
      <c r="I25" s="334">
        <f>'i)industrializzazione'!P14</f>
        <v>0</v>
      </c>
      <c r="J25" s="325">
        <f>ROUNDDOWN(IF(M25&gt;0,'i)industrializzazione'!Q14/I36,0),4)</f>
        <v>0</v>
      </c>
      <c r="K25" s="326"/>
      <c r="M25" s="116">
        <f>'i)industrializzazione'!U14</f>
        <v>0</v>
      </c>
      <c r="N25" s="342"/>
      <c r="O25" s="454"/>
    </row>
    <row r="26" spans="2:15" ht="15" customHeight="1">
      <c r="B26" s="622"/>
      <c r="C26" s="631" t="s">
        <v>41</v>
      </c>
      <c r="D26" s="632"/>
      <c r="E26" s="99">
        <f>'i)industrializzazione'!M19</f>
        <v>0</v>
      </c>
      <c r="F26" s="297"/>
      <c r="G26" s="325">
        <f>ROUNDDOWN(IF(M26&gt;0,'i)industrializzazione'!N20/E36,0),4)</f>
        <v>0</v>
      </c>
      <c r="H26" s="325">
        <f>ROUNDDOWN(IF(M26&gt;0,'i)industrializzazione'!N19/E38,0),5)</f>
        <v>0</v>
      </c>
      <c r="I26" s="334">
        <f>'i)industrializzazione'!P19</f>
        <v>0</v>
      </c>
      <c r="J26" s="325">
        <f>ROUNDDOWN(IF(M26&gt;0,'i)industrializzazione'!Q19/I36,0),4)</f>
        <v>0</v>
      </c>
      <c r="K26" s="326"/>
      <c r="M26" s="116">
        <f>'i)industrializzazione'!U19</f>
        <v>0</v>
      </c>
      <c r="N26" s="342"/>
      <c r="O26" s="454"/>
    </row>
    <row r="27" spans="2:15" ht="15" customHeight="1">
      <c r="B27" s="622"/>
      <c r="C27" s="128" t="s">
        <v>42</v>
      </c>
      <c r="D27" s="129"/>
      <c r="E27" s="99">
        <f>'i)industrializzazione'!M24</f>
        <v>0</v>
      </c>
      <c r="F27" s="297"/>
      <c r="G27" s="325">
        <f>ROUNDDOWN(IF(M27&gt;0,'i)industrializzazione'!N25/E36,0),4)</f>
        <v>0</v>
      </c>
      <c r="H27" s="325">
        <f>ROUNDDOWN(IF(M27&gt;0,'i)industrializzazione'!N24/E38,0),5)</f>
        <v>0</v>
      </c>
      <c r="I27" s="334">
        <f>'i)industrializzazione'!P24</f>
        <v>0</v>
      </c>
      <c r="J27" s="325">
        <f>ROUNDDOWN(IF(M27&gt;0,'i)industrializzazione'!Q24/I36,0),4)</f>
        <v>0</v>
      </c>
      <c r="K27" s="326"/>
      <c r="M27" s="116">
        <f>'i)industrializzazione'!U24</f>
        <v>0</v>
      </c>
      <c r="N27" s="342"/>
      <c r="O27" s="454"/>
    </row>
    <row r="28" spans="2:15" ht="15" customHeight="1">
      <c r="B28" s="622"/>
      <c r="C28" s="631" t="s">
        <v>43</v>
      </c>
      <c r="D28" s="632"/>
      <c r="E28" s="99">
        <f>'i)industrializzazione'!M28</f>
        <v>0</v>
      </c>
      <c r="F28" s="297"/>
      <c r="G28" s="325">
        <f>ROUNDDOWN(IF(M28&gt;0,'i)industrializzazione'!N29/E36,0),4)</f>
        <v>0</v>
      </c>
      <c r="H28" s="325">
        <f>ROUNDDOWN(IF(M28&gt;0,'i)industrializzazione'!N28/E38,0),5)</f>
        <v>0</v>
      </c>
      <c r="I28" s="334">
        <f>'i)industrializzazione'!P28</f>
        <v>0</v>
      </c>
      <c r="J28" s="325">
        <f>ROUNDDOWN(IF(M28&gt;0,'i)industrializzazione'!Q28/I36,0),4)</f>
        <v>0</v>
      </c>
      <c r="K28" s="326"/>
      <c r="M28" s="116">
        <f>'i)industrializzazione'!U28</f>
        <v>0</v>
      </c>
      <c r="N28" s="342"/>
      <c r="O28" s="454"/>
    </row>
    <row r="29" spans="2:15" ht="15" customHeight="1">
      <c r="B29" s="622"/>
      <c r="C29" s="631" t="s">
        <v>44</v>
      </c>
      <c r="D29" s="632"/>
      <c r="E29" s="99">
        <f>'i)industrializzazione'!M32</f>
        <v>0</v>
      </c>
      <c r="F29" s="297"/>
      <c r="G29" s="325">
        <f>ROUNDDOWN(IF(M29&gt;0,'i)industrializzazione'!N33/E36,0),4)</f>
        <v>0</v>
      </c>
      <c r="H29" s="325">
        <f>ROUNDDOWN(IF(M29&gt;0,'i)industrializzazione'!N32/E38,0),5)</f>
        <v>0</v>
      </c>
      <c r="I29" s="334">
        <f>'i)industrializzazione'!P32</f>
        <v>0</v>
      </c>
      <c r="J29" s="325">
        <f>ROUNDDOWN(IF(M29&gt;0,'i)industrializzazione'!Q32/I36,0),4)</f>
        <v>0</v>
      </c>
      <c r="K29" s="326"/>
      <c r="M29" s="116">
        <f>'i)industrializzazione'!U32</f>
        <v>0</v>
      </c>
      <c r="N29" s="342"/>
      <c r="O29" s="454"/>
    </row>
    <row r="30" spans="2:15" ht="16.5" customHeight="1">
      <c r="B30" s="130"/>
      <c r="C30" s="619" t="s">
        <v>45</v>
      </c>
      <c r="D30" s="620"/>
      <c r="E30" s="11">
        <f>SUM(E25:E29)</f>
        <v>0</v>
      </c>
      <c r="F30" s="297"/>
      <c r="G30" s="319" t="s">
        <v>81</v>
      </c>
      <c r="H30" s="336"/>
      <c r="I30" s="456">
        <f>SUM(I25:I29)</f>
        <v>0</v>
      </c>
      <c r="J30" s="319" t="s">
        <v>81</v>
      </c>
      <c r="K30" s="320"/>
      <c r="M30" s="118">
        <f>SUM(M25:M29)</f>
        <v>0</v>
      </c>
      <c r="N30" s="342"/>
      <c r="O30" s="454"/>
    </row>
    <row r="31" spans="2:15" s="131" customFormat="1" ht="9.75" customHeight="1">
      <c r="B31" s="132"/>
      <c r="C31" s="132"/>
      <c r="D31" s="132"/>
      <c r="E31" s="133"/>
      <c r="F31" s="133"/>
      <c r="G31" s="322"/>
      <c r="H31" s="318"/>
      <c r="I31" s="126"/>
      <c r="J31" s="322"/>
      <c r="K31" s="318"/>
      <c r="L31" s="304"/>
      <c r="M31" s="126"/>
      <c r="N31" s="126"/>
      <c r="O31" s="322"/>
    </row>
    <row r="32" spans="2:15" s="5" customFormat="1" ht="27" customHeight="1">
      <c r="B32" s="633" t="s">
        <v>46</v>
      </c>
      <c r="C32" s="633"/>
      <c r="D32" s="633"/>
      <c r="E32" s="633"/>
      <c r="F32" s="296"/>
      <c r="G32" s="322"/>
      <c r="H32" s="318"/>
      <c r="I32" s="324"/>
      <c r="J32" s="322"/>
      <c r="K32" s="318"/>
      <c r="L32" s="126"/>
      <c r="M32" s="127"/>
      <c r="N32" s="127"/>
      <c r="O32" s="322"/>
    </row>
    <row r="33" spans="2:15" ht="15" customHeight="1">
      <c r="B33" s="599"/>
      <c r="C33" s="631" t="s">
        <v>46</v>
      </c>
      <c r="D33" s="632"/>
      <c r="E33" s="99">
        <f>'h)certificazione'!N10</f>
        <v>0</v>
      </c>
      <c r="F33" s="297"/>
      <c r="G33" s="325">
        <f>ROUNDDOWN(IF(M33&gt;0,'h)certificazione'!O11/E36,0),4)</f>
        <v>0</v>
      </c>
      <c r="H33" s="325">
        <f>ROUNDDOWN(IF(M33&gt;0,'h)certificazione'!O10/E38,0),5)</f>
        <v>0</v>
      </c>
      <c r="I33" s="334">
        <f>'h)certificazione'!Q10</f>
        <v>0</v>
      </c>
      <c r="J33" s="325">
        <f>ROUNDDOWN(IF(M33&gt;0,'h)certificazione'!S11/I36,0),4)</f>
        <v>0</v>
      </c>
      <c r="K33" s="326"/>
      <c r="M33" s="116">
        <f>'h)certificazione'!W10</f>
        <v>0</v>
      </c>
      <c r="N33" s="342"/>
      <c r="O33" s="454"/>
    </row>
    <row r="34" spans="2:15" s="131" customFormat="1" ht="10.5">
      <c r="B34" s="134"/>
      <c r="C34" s="258"/>
      <c r="D34" s="257"/>
      <c r="E34" s="12"/>
      <c r="F34" s="166"/>
      <c r="G34" s="304"/>
      <c r="H34" s="127"/>
      <c r="I34" s="322"/>
      <c r="J34" s="304"/>
      <c r="K34" s="127"/>
      <c r="L34" s="304"/>
      <c r="M34" s="322"/>
      <c r="N34" s="318"/>
      <c r="O34" s="304"/>
    </row>
    <row r="35" spans="2:15" ht="19.5" customHeight="1" thickBot="1">
      <c r="B35" s="135"/>
      <c r="F35" s="131"/>
      <c r="I35" s="115"/>
      <c r="J35" s="309"/>
      <c r="K35" s="318"/>
      <c r="M35" s="115"/>
      <c r="N35" s="127"/>
      <c r="O35" s="322"/>
    </row>
    <row r="36" spans="2:15" ht="21" customHeight="1" thickBot="1" thickTop="1">
      <c r="B36" s="135"/>
      <c r="D36" s="229" t="s">
        <v>78</v>
      </c>
      <c r="E36" s="235">
        <f>E22+E30+E33</f>
        <v>0</v>
      </c>
      <c r="F36" s="133"/>
      <c r="G36" s="325" t="e">
        <f>ROUNDDOWN(G37/E36,4)</f>
        <v>#DIV/0!</v>
      </c>
      <c r="H36" s="325">
        <f>ROUNDDOWN(SUM(H9:H35),4)</f>
        <v>0</v>
      </c>
      <c r="I36" s="334">
        <f>SUM(I9:I35)-I22-I30</f>
        <v>0</v>
      </c>
      <c r="J36" s="325">
        <f>ROUNDDOWN(SUM(J9:J35),4)</f>
        <v>0</v>
      </c>
      <c r="K36" s="326"/>
      <c r="M36" s="327">
        <f>M22+M30+M33</f>
        <v>0</v>
      </c>
      <c r="N36" s="126"/>
      <c r="O36" s="454"/>
    </row>
    <row r="37" spans="2:15" ht="10.5" customHeight="1" thickTop="1">
      <c r="B37" s="135"/>
      <c r="D37" s="229"/>
      <c r="E37" s="229"/>
      <c r="F37" s="229"/>
      <c r="G37" s="610">
        <f>'ab)personale'!L31+'ab)personale'!L45+'c)spesegenerali'!O25+'d)terzi'!O27+'e)immateriali'!T27+'f)strumenti'!T27+'g)materiali'!O21+'g)materiali'!O29+'i)industrializzazione'!N15+'i)industrializzazione'!N20+'i)industrializzazione'!N25+'i)industrializzazione'!N29+'i)industrializzazione'!N33+'h)certificazione'!O11</f>
        <v>0</v>
      </c>
      <c r="H37" s="612">
        <f>'c)spesegenerali'!O24+'d)terzi'!O26+'e)immateriali'!T26+'f)strumenti'!T26+'g)materiali'!O20+'g)materiali'!O28+'i)industrializzazione'!N14+'i)industrializzazione'!N19+'i)industrializzazione'!N24+'i)industrializzazione'!N28+'i)industrializzazione'!N32+'h)certificazione'!O10</f>
        <v>0</v>
      </c>
      <c r="J37" s="610">
        <f>'ab)personale'!R31+'ab)personale'!R45+'c)spesegenerali'!S25+'d)terzi'!S27+'e)immateriali'!AE27+'f)strumenti'!AE27+'g)materiali'!S21+'g)materiali'!S29+'i)industrializzazione'!Q14+'i)industrializzazione'!Q19+'i)industrializzazione'!Q24+'i)industrializzazione'!Q28+'i)industrializzazione'!Q32+'h)certificazione'!S11</f>
        <v>0</v>
      </c>
      <c r="O37" s="304"/>
    </row>
    <row r="38" spans="1:15" ht="10.5" customHeight="1">
      <c r="A38" s="234"/>
      <c r="C38" s="228" t="s">
        <v>79</v>
      </c>
      <c r="D38" s="598" t="s">
        <v>163</v>
      </c>
      <c r="E38" s="607">
        <f>'c)spesegenerali'!D24+'d)terzi'!D26+'e)immateriali'!D26+'f)strumenti'!D26+'g)materiali'!D20+'g)materiali'!H28+'i)industrializzazione'!D14+'i)industrializzazione'!D19+'i)industrializzazione'!D24+'i)industrializzazione'!D28+'i)industrializzazione'!D32+'h)certificazione'!D10</f>
        <v>0</v>
      </c>
      <c r="F38" s="229"/>
      <c r="G38" s="328" t="s">
        <v>79</v>
      </c>
      <c r="K38" s="329"/>
      <c r="O38" s="304"/>
    </row>
    <row r="39" spans="1:14" ht="10.5" customHeight="1">
      <c r="A39" s="234"/>
      <c r="B39" s="231"/>
      <c r="C39" s="10" t="str">
        <f>ROUND(ore/8,0)&amp;"  gg attività ricercatori"</f>
        <v>0  gg attività ricercatori</v>
      </c>
      <c r="D39" s="232"/>
      <c r="E39" s="233"/>
      <c r="F39" s="233"/>
      <c r="G39" s="330" t="str">
        <f>ROUND(oreammesse/8,0)&amp;" gg ricercatori"</f>
        <v>0 gg ricercatori</v>
      </c>
      <c r="K39" s="331"/>
      <c r="M39" s="332"/>
      <c r="N39" s="345"/>
    </row>
    <row r="40" spans="1:14" ht="10.5" customHeight="1">
      <c r="A40" s="234"/>
      <c r="B40" s="230"/>
      <c r="C40" s="10" t="str">
        <f>ROUND((ore+oreoperai)/8,0)&amp;"  gg attività ricercatori+manodopera"</f>
        <v>0  gg attività ricercatori+manodopera</v>
      </c>
      <c r="D40" s="232"/>
      <c r="E40" s="233"/>
      <c r="F40" s="233"/>
      <c r="G40" s="330" t="str">
        <f>ROUND((oreammesse+oreoperaiammesse)/8,0)&amp;" gg ric.+manodopera"</f>
        <v>0 gg ric.+manodopera</v>
      </c>
      <c r="K40" s="331"/>
      <c r="M40" s="332"/>
      <c r="N40" s="345"/>
    </row>
    <row r="41" spans="2:6" ht="10.5" customHeight="1">
      <c r="B41" s="230"/>
      <c r="C41" s="10"/>
      <c r="E41" s="229"/>
      <c r="F41" s="229"/>
    </row>
    <row r="42" spans="2:15" s="136" customFormat="1" ht="71.25" customHeight="1">
      <c r="B42" s="640" t="s">
        <v>27</v>
      </c>
      <c r="C42" s="640"/>
      <c r="D42" s="641" t="s">
        <v>26</v>
      </c>
      <c r="E42" s="641"/>
      <c r="F42" s="227"/>
      <c r="G42" s="333"/>
      <c r="H42" s="337"/>
      <c r="I42" s="333"/>
      <c r="J42" s="137"/>
      <c r="K42" s="308"/>
      <c r="L42" s="137"/>
      <c r="M42" s="333"/>
      <c r="N42" s="337"/>
      <c r="O42" s="137"/>
    </row>
    <row r="46" spans="1:15" ht="10.5" hidden="1">
      <c r="A46" s="457" t="s">
        <v>118</v>
      </c>
      <c r="B46" s="519">
        <v>32</v>
      </c>
      <c r="C46" s="457" t="s">
        <v>131</v>
      </c>
      <c r="G46" s="10"/>
      <c r="H46" s="460"/>
      <c r="I46" s="10"/>
      <c r="J46" s="1"/>
      <c r="K46" s="300"/>
      <c r="L46" s="1"/>
      <c r="M46" s="10"/>
      <c r="N46" s="460"/>
      <c r="O46" s="1"/>
    </row>
    <row r="47" spans="1:15" ht="10.5" hidden="1">
      <c r="A47" s="457" t="s">
        <v>119</v>
      </c>
      <c r="B47" s="519">
        <v>21</v>
      </c>
      <c r="C47" s="457" t="s">
        <v>129</v>
      </c>
      <c r="G47" s="10"/>
      <c r="H47" s="460"/>
      <c r="I47" s="10"/>
      <c r="J47" s="1"/>
      <c r="K47" s="300"/>
      <c r="L47" s="1"/>
      <c r="M47" s="10"/>
      <c r="N47" s="460"/>
      <c r="O47" s="1"/>
    </row>
    <row r="48" spans="1:15" ht="10.5" hidden="1">
      <c r="A48" s="457" t="s">
        <v>120</v>
      </c>
      <c r="B48" s="519">
        <v>20</v>
      </c>
      <c r="C48" s="458" t="s">
        <v>153</v>
      </c>
      <c r="G48" s="10"/>
      <c r="H48" s="460"/>
      <c r="I48" s="10"/>
      <c r="J48" s="1"/>
      <c r="K48" s="300"/>
      <c r="L48" s="1"/>
      <c r="M48" s="10"/>
      <c r="N48" s="460"/>
      <c r="O48" s="1"/>
    </row>
    <row r="49" spans="1:15" ht="10.5" hidden="1">
      <c r="A49" s="458" t="s">
        <v>104</v>
      </c>
      <c r="B49" s="519" t="s">
        <v>143</v>
      </c>
      <c r="G49" s="10"/>
      <c r="H49" s="460"/>
      <c r="I49" s="10"/>
      <c r="J49" s="1"/>
      <c r="K49" s="300"/>
      <c r="L49" s="1"/>
      <c r="M49" s="10"/>
      <c r="N49" s="460"/>
      <c r="O49" s="1"/>
    </row>
    <row r="50" spans="1:15" ht="10.5" hidden="1">
      <c r="A50" s="459" t="s">
        <v>105</v>
      </c>
      <c r="G50" s="10"/>
      <c r="H50" s="460"/>
      <c r="I50" s="10"/>
      <c r="J50" s="1"/>
      <c r="K50" s="300"/>
      <c r="L50" s="1"/>
      <c r="M50" s="10"/>
      <c r="N50" s="460"/>
      <c r="O50" s="1"/>
    </row>
    <row r="51" spans="1:15" ht="10.5" hidden="1">
      <c r="A51" s="459" t="s">
        <v>106</v>
      </c>
      <c r="G51" s="10"/>
      <c r="H51" s="460"/>
      <c r="I51" s="10"/>
      <c r="J51" s="1"/>
      <c r="K51" s="300"/>
      <c r="L51" s="1"/>
      <c r="M51" s="10"/>
      <c r="N51" s="460"/>
      <c r="O51" s="1"/>
    </row>
    <row r="52" spans="1:15" ht="10.5" hidden="1">
      <c r="A52" s="459" t="s">
        <v>107</v>
      </c>
      <c r="G52" s="10"/>
      <c r="H52" s="460"/>
      <c r="I52" s="10"/>
      <c r="J52" s="1"/>
      <c r="K52" s="300"/>
      <c r="L52" s="1"/>
      <c r="M52" s="10"/>
      <c r="N52" s="460"/>
      <c r="O52" s="1"/>
    </row>
    <row r="53" spans="1:15" ht="10.5" hidden="1">
      <c r="A53" s="459" t="s">
        <v>108</v>
      </c>
      <c r="G53" s="10"/>
      <c r="H53" s="460"/>
      <c r="I53" s="10"/>
      <c r="J53" s="1"/>
      <c r="K53" s="300"/>
      <c r="L53" s="1"/>
      <c r="M53" s="10"/>
      <c r="N53" s="460"/>
      <c r="O53" s="1"/>
    </row>
    <row r="54" spans="7:15" ht="10.5">
      <c r="G54" s="10"/>
      <c r="H54" s="460"/>
      <c r="I54" s="10"/>
      <c r="J54" s="1"/>
      <c r="K54" s="300"/>
      <c r="L54" s="1"/>
      <c r="M54" s="10"/>
      <c r="N54" s="460"/>
      <c r="O54" s="1"/>
    </row>
  </sheetData>
  <sheetProtection password="CC84" sheet="1" objects="1" scenarios="1"/>
  <mergeCells count="19">
    <mergeCell ref="B2:E2"/>
    <mergeCell ref="B1:E1"/>
    <mergeCell ref="B20:C20"/>
    <mergeCell ref="B42:C42"/>
    <mergeCell ref="D42:E42"/>
    <mergeCell ref="C30:D30"/>
    <mergeCell ref="C22:D22"/>
    <mergeCell ref="B25:B29"/>
    <mergeCell ref="C25:D25"/>
    <mergeCell ref="B9:B14"/>
    <mergeCell ref="B15:B19"/>
    <mergeCell ref="B8:C8"/>
    <mergeCell ref="B4:B6"/>
    <mergeCell ref="C33:D33"/>
    <mergeCell ref="B32:E32"/>
    <mergeCell ref="B24:E24"/>
    <mergeCell ref="C26:D26"/>
    <mergeCell ref="C28:D28"/>
    <mergeCell ref="C29:D29"/>
  </mergeCells>
  <dataValidations count="5">
    <dataValidation type="list" allowBlank="1" showInputMessage="1" showErrorMessage="1" prompt="selezionare da menu a tendina il &quot;tipo progetto&quot;" sqref="B2:F2">
      <formula1>$C$46:$C$48</formula1>
    </dataValidation>
    <dataValidation allowBlank="1" showInputMessage="1" showErrorMessage="1" prompt="inserire data INIZIO progetto" sqref="C5"/>
    <dataValidation allowBlank="1" showInputMessage="1" showErrorMessage="1" prompt="inserire data INIZIO attività" sqref="D5:E5"/>
    <dataValidation allowBlank="1" showInputMessage="1" showErrorMessage="1" prompt="inserire data FINE attività" sqref="D6:E6"/>
    <dataValidation allowBlank="1" showInputMessage="1" showErrorMessage="1" prompt="inserire data FINE progetto" sqref="C6"/>
  </dataValidations>
  <printOptions/>
  <pageMargins left="0.3937007874015748" right="0.3937007874015748" top="1.1811023622047245" bottom="0.3937007874015748" header="0.31496062992125984" footer="0.3937007874015748"/>
  <pageSetup horizontalDpi="300" verticalDpi="300" orientation="portrait" paperSize="9" r:id="rId1"/>
  <headerFooter alignWithMargins="0">
    <oddHeader>&amp;R&amp;"Verdana,Normale"&amp;12ALLEGATO 2
Dettaglio spese relative al progetto&amp;"Arial,Normale"&amp;10
&amp;"Verdana,Normale"rendicontazione - quadro &amp;"Arial,Normale"riepilogativo</oddHeader>
  </headerFooter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34">
    <tabColor indexed="50"/>
    <pageSetUpPr fitToPage="1"/>
  </sheetPr>
  <dimension ref="A1:V33"/>
  <sheetViews>
    <sheetView workbookViewId="0" topLeftCell="A1">
      <selection activeCell="B3" sqref="B3"/>
    </sheetView>
  </sheetViews>
  <sheetFormatPr defaultColWidth="9.140625" defaultRowHeight="12.75"/>
  <cols>
    <col min="1" max="1" width="2.7109375" style="478" bestFit="1" customWidth="1"/>
    <col min="2" max="2" width="25.140625" style="19" customWidth="1"/>
    <col min="3" max="3" width="24.00390625" style="19" customWidth="1"/>
    <col min="4" max="4" width="6.140625" style="23" customWidth="1"/>
    <col min="5" max="5" width="6.421875" style="27" customWidth="1"/>
    <col min="6" max="6" width="10.8515625" style="19" customWidth="1"/>
    <col min="7" max="7" width="3.57421875" style="350" customWidth="1"/>
    <col min="8" max="8" width="8.8515625" style="140" customWidth="1"/>
    <col min="9" max="9" width="10.8515625" style="27" customWidth="1"/>
    <col min="10" max="10" width="9.57421875" style="155" customWidth="1"/>
    <col min="11" max="11" width="13.421875" style="57" customWidth="1"/>
    <col min="12" max="12" width="10.8515625" style="19" customWidth="1"/>
    <col min="13" max="13" width="11.28125" style="19" customWidth="1"/>
    <col min="14" max="14" width="4.8515625" style="409" hidden="1" customWidth="1"/>
    <col min="15" max="15" width="6.140625" style="151" hidden="1" customWidth="1"/>
    <col min="16" max="16" width="11.421875" style="108" hidden="1" customWidth="1"/>
    <col min="17" max="17" width="3.8515625" style="262" hidden="1" customWidth="1"/>
    <col min="18" max="18" width="5.28125" style="270" hidden="1" customWidth="1"/>
    <col min="19" max="19" width="11.140625" style="147" hidden="1" customWidth="1"/>
    <col min="20" max="20" width="10.8515625" style="147" hidden="1" customWidth="1"/>
    <col min="21" max="21" width="11.00390625" style="147" hidden="1" customWidth="1"/>
    <col min="22" max="22" width="44.28125" style="147" hidden="1" customWidth="1"/>
    <col min="23" max="16384" width="9.140625" style="19" customWidth="1"/>
  </cols>
  <sheetData>
    <row r="1" spans="1:22" ht="17.25" customHeight="1">
      <c r="A1" s="481" t="s">
        <v>49</v>
      </c>
      <c r="B1" s="72" t="s">
        <v>48</v>
      </c>
      <c r="C1" s="72"/>
      <c r="D1" s="165">
        <f>datainizioprogetto</f>
        <v>0</v>
      </c>
      <c r="F1" s="48"/>
      <c r="G1" s="349"/>
      <c r="H1" s="141"/>
      <c r="L1" s="49"/>
      <c r="M1" s="49" t="s">
        <v>11</v>
      </c>
      <c r="N1" s="403" t="s">
        <v>124</v>
      </c>
      <c r="O1" s="150"/>
      <c r="P1" s="264"/>
      <c r="Q1" s="261"/>
      <c r="R1" s="271"/>
      <c r="S1" s="145"/>
      <c r="T1" s="145"/>
      <c r="U1" s="145"/>
      <c r="V1" s="49" t="s">
        <v>11</v>
      </c>
    </row>
    <row r="2" spans="1:22" ht="17.25" customHeight="1" thickBot="1">
      <c r="A2" s="477"/>
      <c r="B2" s="48"/>
      <c r="C2" s="48"/>
      <c r="D2" s="165">
        <f>datafineprogetto</f>
        <v>0</v>
      </c>
      <c r="F2" s="48"/>
      <c r="G2" s="349"/>
      <c r="H2" s="141"/>
      <c r="L2" s="22"/>
      <c r="M2" s="22" t="s">
        <v>171</v>
      </c>
      <c r="V2" s="22" t="s">
        <v>80</v>
      </c>
    </row>
    <row r="3" spans="2:22" ht="20.25" customHeight="1" thickBot="1" thickTop="1">
      <c r="B3" s="36" t="s">
        <v>67</v>
      </c>
      <c r="C3" s="36"/>
      <c r="E3" s="59"/>
      <c r="H3" s="19"/>
      <c r="I3" s="23"/>
      <c r="K3" s="37"/>
      <c r="L3" s="38"/>
      <c r="M3" s="38"/>
      <c r="N3" s="408"/>
      <c r="O3" s="338"/>
      <c r="P3" s="338"/>
      <c r="Q3" s="338"/>
      <c r="R3" s="338"/>
      <c r="S3" s="340"/>
      <c r="T3" s="340" t="s">
        <v>87</v>
      </c>
      <c r="U3" s="340"/>
      <c r="V3" s="339"/>
    </row>
    <row r="4" spans="5:22" ht="6" customHeight="1" thickTop="1">
      <c r="E4" s="59"/>
      <c r="H4" s="19"/>
      <c r="I4" s="23"/>
      <c r="K4" s="37"/>
      <c r="L4" s="38"/>
      <c r="M4" s="38"/>
      <c r="S4" s="168"/>
      <c r="T4" s="168"/>
      <c r="U4" s="168"/>
      <c r="V4" s="168"/>
    </row>
    <row r="5" spans="1:22" ht="11.25" customHeight="1">
      <c r="A5" s="480"/>
      <c r="B5" s="670" t="s">
        <v>109</v>
      </c>
      <c r="C5" s="670" t="s">
        <v>56</v>
      </c>
      <c r="D5" s="693" t="s">
        <v>54</v>
      </c>
      <c r="E5" s="694"/>
      <c r="F5" s="695"/>
      <c r="G5" s="696" t="s">
        <v>58</v>
      </c>
      <c r="H5" s="697"/>
      <c r="I5" s="697"/>
      <c r="J5" s="698"/>
      <c r="K5" s="693" t="s">
        <v>68</v>
      </c>
      <c r="L5" s="694"/>
      <c r="M5" s="699"/>
      <c r="N5" s="660" t="s">
        <v>99</v>
      </c>
      <c r="O5" s="666" t="s">
        <v>174</v>
      </c>
      <c r="P5" s="662" t="s">
        <v>101</v>
      </c>
      <c r="Q5" s="664" t="s">
        <v>100</v>
      </c>
      <c r="R5" s="666" t="s">
        <v>174</v>
      </c>
      <c r="S5" s="617" t="s">
        <v>60</v>
      </c>
      <c r="T5" s="618"/>
      <c r="U5" s="642"/>
      <c r="V5" s="676" t="s">
        <v>59</v>
      </c>
    </row>
    <row r="6" spans="1:22" ht="30.75" customHeight="1">
      <c r="A6" s="480"/>
      <c r="B6" s="671"/>
      <c r="C6" s="671"/>
      <c r="D6" s="43" t="s">
        <v>55</v>
      </c>
      <c r="E6" s="31" t="s">
        <v>57</v>
      </c>
      <c r="F6" s="43" t="s">
        <v>111</v>
      </c>
      <c r="G6" s="351" t="s">
        <v>55</v>
      </c>
      <c r="H6" s="138" t="s">
        <v>121</v>
      </c>
      <c r="I6" s="138" t="s">
        <v>62</v>
      </c>
      <c r="J6" s="138" t="s">
        <v>122</v>
      </c>
      <c r="K6" s="43" t="s">
        <v>114</v>
      </c>
      <c r="L6" s="43" t="s">
        <v>82</v>
      </c>
      <c r="M6" s="388" t="s">
        <v>84</v>
      </c>
      <c r="N6" s="661"/>
      <c r="O6" s="666"/>
      <c r="P6" s="663"/>
      <c r="Q6" s="665"/>
      <c r="R6" s="666"/>
      <c r="S6" s="259" t="s">
        <v>93</v>
      </c>
      <c r="T6" s="259" t="s">
        <v>82</v>
      </c>
      <c r="U6" s="259" t="s">
        <v>84</v>
      </c>
      <c r="V6" s="677"/>
    </row>
    <row r="7" spans="2:22" ht="6.75" customHeight="1">
      <c r="B7" s="48"/>
      <c r="C7" s="48"/>
      <c r="E7" s="59"/>
      <c r="F7" s="39"/>
      <c r="H7" s="19"/>
      <c r="K7" s="39"/>
      <c r="L7" s="154"/>
      <c r="M7" s="154"/>
      <c r="N7" s="449"/>
      <c r="P7" s="104"/>
      <c r="Q7" s="104"/>
      <c r="R7" s="294"/>
      <c r="S7" s="104"/>
      <c r="T7" s="104"/>
      <c r="U7" s="104"/>
      <c r="V7" s="104"/>
    </row>
    <row r="8" spans="1:22" ht="11.25" customHeight="1">
      <c r="A8" s="480" t="s">
        <v>49</v>
      </c>
      <c r="B8" s="700" t="s">
        <v>66</v>
      </c>
      <c r="C8" s="701"/>
      <c r="D8" s="175"/>
      <c r="E8" s="176"/>
      <c r="F8" s="176"/>
      <c r="G8" s="352"/>
      <c r="H8" s="176"/>
      <c r="I8" s="387"/>
      <c r="J8" s="176"/>
      <c r="K8" s="176"/>
      <c r="L8" s="177"/>
      <c r="M8" s="177"/>
      <c r="N8" s="450"/>
      <c r="O8" s="172"/>
      <c r="P8" s="174"/>
      <c r="Q8" s="174"/>
      <c r="R8" s="294"/>
      <c r="S8" s="174"/>
      <c r="T8" s="174"/>
      <c r="U8" s="174"/>
      <c r="V8" s="174"/>
    </row>
    <row r="9" spans="1:22" ht="18.75" customHeight="1">
      <c r="A9" s="480">
        <v>1</v>
      </c>
      <c r="B9" s="15"/>
      <c r="C9" s="15"/>
      <c r="D9" s="18"/>
      <c r="E9" s="17"/>
      <c r="F9" s="417"/>
      <c r="G9" s="348">
        <f>IF(H9&lt;&gt;"",A9&amp;"ia","")</f>
      </c>
      <c r="H9" s="142"/>
      <c r="I9" s="386">
        <f>F9</f>
        <v>0</v>
      </c>
      <c r="J9" s="17"/>
      <c r="K9" s="417"/>
      <c r="L9" s="160"/>
      <c r="M9" s="405">
        <f>K9-L9</f>
        <v>0</v>
      </c>
      <c r="N9" s="411"/>
      <c r="O9" s="152"/>
      <c r="P9" s="146">
        <f>M9</f>
        <v>0</v>
      </c>
      <c r="Q9" s="415"/>
      <c r="R9" s="272"/>
      <c r="S9" s="146">
        <f aca="true" t="shared" si="0" ref="S9:T13">K9</f>
        <v>0</v>
      </c>
      <c r="T9" s="146">
        <f t="shared" si="0"/>
        <v>0</v>
      </c>
      <c r="U9" s="146">
        <f>S9-T9</f>
        <v>0</v>
      </c>
      <c r="V9" s="452"/>
    </row>
    <row r="10" spans="1:22" ht="18.75" customHeight="1">
      <c r="A10" s="480">
        <v>2</v>
      </c>
      <c r="B10" s="15"/>
      <c r="C10" s="15"/>
      <c r="D10" s="18"/>
      <c r="E10" s="17"/>
      <c r="F10" s="417"/>
      <c r="G10" s="348">
        <f>IF(H10&lt;&gt;"",A10&amp;"ia","")</f>
      </c>
      <c r="H10" s="142"/>
      <c r="I10" s="386">
        <f>F10</f>
        <v>0</v>
      </c>
      <c r="J10" s="17"/>
      <c r="K10" s="417"/>
      <c r="L10" s="160"/>
      <c r="M10" s="405">
        <f>K10-L10</f>
        <v>0</v>
      </c>
      <c r="N10" s="411"/>
      <c r="O10" s="152"/>
      <c r="P10" s="146">
        <f>M10</f>
        <v>0</v>
      </c>
      <c r="Q10" s="415"/>
      <c r="R10" s="272"/>
      <c r="S10" s="146">
        <f t="shared" si="0"/>
        <v>0</v>
      </c>
      <c r="T10" s="146">
        <f t="shared" si="0"/>
        <v>0</v>
      </c>
      <c r="U10" s="146">
        <f>S10-T10</f>
        <v>0</v>
      </c>
      <c r="V10" s="452"/>
    </row>
    <row r="11" spans="1:22" ht="18.75" customHeight="1">
      <c r="A11" s="480">
        <v>3</v>
      </c>
      <c r="B11" s="15"/>
      <c r="C11" s="15"/>
      <c r="D11" s="18"/>
      <c r="E11" s="17"/>
      <c r="F11" s="417"/>
      <c r="G11" s="348">
        <f>IF(H11&lt;&gt;"",A11&amp;"ia","")</f>
      </c>
      <c r="H11" s="142"/>
      <c r="I11" s="386">
        <f>F11</f>
        <v>0</v>
      </c>
      <c r="J11" s="17"/>
      <c r="K11" s="417"/>
      <c r="L11" s="160"/>
      <c r="M11" s="405">
        <f>K11-L11</f>
        <v>0</v>
      </c>
      <c r="N11" s="411"/>
      <c r="O11" s="152"/>
      <c r="P11" s="146">
        <f>M11</f>
        <v>0</v>
      </c>
      <c r="Q11" s="415"/>
      <c r="R11" s="272"/>
      <c r="S11" s="146">
        <f t="shared" si="0"/>
        <v>0</v>
      </c>
      <c r="T11" s="146">
        <f t="shared" si="0"/>
        <v>0</v>
      </c>
      <c r="U11" s="146">
        <f>S11-T11</f>
        <v>0</v>
      </c>
      <c r="V11" s="452"/>
    </row>
    <row r="12" spans="1:22" ht="18.75" customHeight="1">
      <c r="A12" s="480">
        <v>4</v>
      </c>
      <c r="B12" s="15"/>
      <c r="C12" s="15"/>
      <c r="D12" s="18"/>
      <c r="E12" s="17"/>
      <c r="F12" s="417"/>
      <c r="G12" s="348">
        <f>IF(H12&lt;&gt;"",A12&amp;"ia","")</f>
      </c>
      <c r="H12" s="142"/>
      <c r="I12" s="386">
        <f>F12</f>
        <v>0</v>
      </c>
      <c r="J12" s="17"/>
      <c r="K12" s="417"/>
      <c r="L12" s="160"/>
      <c r="M12" s="405">
        <f>K12-L12</f>
        <v>0</v>
      </c>
      <c r="N12" s="411"/>
      <c r="O12" s="152"/>
      <c r="P12" s="146">
        <f>M12</f>
        <v>0</v>
      </c>
      <c r="Q12" s="415"/>
      <c r="R12" s="272"/>
      <c r="S12" s="146">
        <f t="shared" si="0"/>
        <v>0</v>
      </c>
      <c r="T12" s="146">
        <f t="shared" si="0"/>
        <v>0</v>
      </c>
      <c r="U12" s="146">
        <f>S12-T12</f>
        <v>0</v>
      </c>
      <c r="V12" s="452"/>
    </row>
    <row r="13" spans="1:22" ht="18.75" customHeight="1">
      <c r="A13" s="480">
        <v>5</v>
      </c>
      <c r="B13" s="15"/>
      <c r="C13" s="15"/>
      <c r="D13" s="18"/>
      <c r="E13" s="17"/>
      <c r="F13" s="417"/>
      <c r="G13" s="348">
        <f>IF(H13&lt;&gt;"",A13&amp;"ia","")</f>
      </c>
      <c r="H13" s="142"/>
      <c r="I13" s="386">
        <f>F13</f>
        <v>0</v>
      </c>
      <c r="J13" s="17"/>
      <c r="K13" s="417"/>
      <c r="L13" s="160"/>
      <c r="M13" s="405">
        <f>K13-L13</f>
        <v>0</v>
      </c>
      <c r="N13" s="411"/>
      <c r="O13" s="152"/>
      <c r="P13" s="146">
        <f>M13</f>
        <v>0</v>
      </c>
      <c r="Q13" s="415"/>
      <c r="R13" s="272"/>
      <c r="S13" s="146">
        <f t="shared" si="0"/>
        <v>0</v>
      </c>
      <c r="T13" s="146">
        <f t="shared" si="0"/>
        <v>0</v>
      </c>
      <c r="U13" s="146">
        <f>S13-T13</f>
        <v>0</v>
      </c>
      <c r="V13" s="452"/>
    </row>
    <row r="14" spans="1:22" s="56" customFormat="1" ht="14.25" customHeight="1">
      <c r="A14" s="533" t="s">
        <v>18</v>
      </c>
      <c r="B14" s="241"/>
      <c r="C14" s="241"/>
      <c r="D14" s="594">
        <f>COUNTA(D9:D13)</f>
        <v>0</v>
      </c>
      <c r="E14" s="62"/>
      <c r="F14" s="546"/>
      <c r="G14" s="353"/>
      <c r="H14" s="547"/>
      <c r="I14" s="548"/>
      <c r="J14" s="54" t="s">
        <v>13</v>
      </c>
      <c r="K14" s="55">
        <f>SUM(K9:K13)</f>
        <v>0</v>
      </c>
      <c r="L14" s="55">
        <f>SUM(L9:L13)</f>
        <v>0</v>
      </c>
      <c r="M14" s="406">
        <f>SUM(M9:M13)</f>
        <v>0</v>
      </c>
      <c r="N14" s="609">
        <f>COUNTIF(N9:N13,"=x")</f>
        <v>0</v>
      </c>
      <c r="O14" s="608" t="e">
        <f>ROUNDDOWN(N14/D14,4)</f>
        <v>#DIV/0!</v>
      </c>
      <c r="P14" s="153">
        <f>SUM(P9:P13)</f>
        <v>0</v>
      </c>
      <c r="Q14" s="269">
        <f>IF(P14=0,0,SUMIF(Q9:Q13,"x",P9:P13))</f>
        <v>0</v>
      </c>
      <c r="R14" s="608" t="e">
        <f>ROUNDDOWN(Q14/P14,4)</f>
        <v>#DIV/0!</v>
      </c>
      <c r="S14" s="153">
        <f>SUM(S9:S13)</f>
        <v>0</v>
      </c>
      <c r="T14" s="153">
        <f>SUM(T9:T13)</f>
        <v>0</v>
      </c>
      <c r="U14" s="153">
        <f>SUM(U9:U13)</f>
        <v>0</v>
      </c>
      <c r="V14" s="452"/>
    </row>
    <row r="15" spans="1:22" ht="11.25" customHeight="1">
      <c r="A15" s="480" t="s">
        <v>50</v>
      </c>
      <c r="B15" s="700" t="s">
        <v>69</v>
      </c>
      <c r="C15" s="701"/>
      <c r="D15" s="175"/>
      <c r="E15" s="176"/>
      <c r="F15" s="451"/>
      <c r="G15" s="352"/>
      <c r="H15" s="176"/>
      <c r="I15" s="451"/>
      <c r="J15" s="176"/>
      <c r="K15" s="176"/>
      <c r="L15" s="177"/>
      <c r="M15" s="177"/>
      <c r="N15" s="410">
        <f>IF(M14=0,0,SUMIF(N9:N13,"x",M9:M13))</f>
        <v>0</v>
      </c>
      <c r="O15" s="608" t="e">
        <f>ROUNDDOWN(N15/M14,4)</f>
        <v>#DIV/0!</v>
      </c>
      <c r="P15" s="174"/>
      <c r="Q15" s="174"/>
      <c r="R15" s="294"/>
      <c r="S15" s="174"/>
      <c r="T15" s="174"/>
      <c r="U15" s="174"/>
      <c r="V15" s="174"/>
    </row>
    <row r="16" spans="1:22" ht="18.75" customHeight="1">
      <c r="A16" s="480">
        <v>1</v>
      </c>
      <c r="B16" s="15"/>
      <c r="C16" s="15"/>
      <c r="D16" s="18"/>
      <c r="E16" s="17"/>
      <c r="F16" s="417"/>
      <c r="G16" s="348">
        <f>IF(H16&lt;&gt;"",A16&amp;"ib","")</f>
      </c>
      <c r="H16" s="142"/>
      <c r="I16" s="386">
        <f>F16</f>
        <v>0</v>
      </c>
      <c r="J16" s="17"/>
      <c r="K16" s="417"/>
      <c r="L16" s="160"/>
      <c r="M16" s="405">
        <f>K16-L16</f>
        <v>0</v>
      </c>
      <c r="N16" s="411"/>
      <c r="O16" s="152"/>
      <c r="P16" s="146">
        <f>M16</f>
        <v>0</v>
      </c>
      <c r="Q16" s="415"/>
      <c r="R16" s="272"/>
      <c r="S16" s="146">
        <f aca="true" t="shared" si="1" ref="S16:T18">K16</f>
        <v>0</v>
      </c>
      <c r="T16" s="146">
        <f t="shared" si="1"/>
        <v>0</v>
      </c>
      <c r="U16" s="146">
        <f>S16-T16</f>
        <v>0</v>
      </c>
      <c r="V16" s="452"/>
    </row>
    <row r="17" spans="1:22" ht="18.75" customHeight="1">
      <c r="A17" s="480">
        <v>2</v>
      </c>
      <c r="B17" s="15"/>
      <c r="C17" s="15"/>
      <c r="D17" s="18"/>
      <c r="E17" s="17"/>
      <c r="F17" s="417"/>
      <c r="G17" s="348">
        <f>IF(H17&lt;&gt;"",A17&amp;"ib","")</f>
      </c>
      <c r="H17" s="142"/>
      <c r="I17" s="386">
        <f>F17</f>
        <v>0</v>
      </c>
      <c r="J17" s="17"/>
      <c r="K17" s="417"/>
      <c r="L17" s="160"/>
      <c r="M17" s="405">
        <f>K17-L17</f>
        <v>0</v>
      </c>
      <c r="N17" s="411"/>
      <c r="O17" s="152"/>
      <c r="P17" s="146">
        <f>M17</f>
        <v>0</v>
      </c>
      <c r="Q17" s="415"/>
      <c r="R17" s="272"/>
      <c r="S17" s="146">
        <f t="shared" si="1"/>
        <v>0</v>
      </c>
      <c r="T17" s="146">
        <f t="shared" si="1"/>
        <v>0</v>
      </c>
      <c r="U17" s="146">
        <f>S17-T17</f>
        <v>0</v>
      </c>
      <c r="V17" s="452"/>
    </row>
    <row r="18" spans="1:22" ht="18.75" customHeight="1">
      <c r="A18" s="480">
        <v>3</v>
      </c>
      <c r="B18" s="15"/>
      <c r="C18" s="15"/>
      <c r="D18" s="18"/>
      <c r="E18" s="17"/>
      <c r="F18" s="417"/>
      <c r="G18" s="348">
        <f>IF(H18&lt;&gt;"",A18&amp;"ib","")</f>
      </c>
      <c r="H18" s="142"/>
      <c r="I18" s="386">
        <f>F18</f>
        <v>0</v>
      </c>
      <c r="J18" s="17"/>
      <c r="K18" s="417"/>
      <c r="L18" s="160"/>
      <c r="M18" s="405">
        <f>K18-L18</f>
        <v>0</v>
      </c>
      <c r="N18" s="411"/>
      <c r="O18" s="152"/>
      <c r="P18" s="146">
        <f>M18</f>
        <v>0</v>
      </c>
      <c r="Q18" s="415"/>
      <c r="R18" s="272"/>
      <c r="S18" s="146">
        <f t="shared" si="1"/>
        <v>0</v>
      </c>
      <c r="T18" s="146">
        <f t="shared" si="1"/>
        <v>0</v>
      </c>
      <c r="U18" s="146">
        <f>S18-T18</f>
        <v>0</v>
      </c>
      <c r="V18" s="452"/>
    </row>
    <row r="19" spans="1:22" s="56" customFormat="1" ht="13.5" customHeight="1">
      <c r="A19" s="533" t="s">
        <v>18</v>
      </c>
      <c r="B19" s="241"/>
      <c r="C19" s="241"/>
      <c r="D19" s="594">
        <f>COUNTA(D16:D18)</f>
        <v>0</v>
      </c>
      <c r="E19" s="62"/>
      <c r="F19" s="546"/>
      <c r="G19" s="353"/>
      <c r="H19" s="547"/>
      <c r="I19" s="548"/>
      <c r="J19" s="54" t="s">
        <v>13</v>
      </c>
      <c r="K19" s="55">
        <f>SUM(K16:K18)</f>
        <v>0</v>
      </c>
      <c r="L19" s="55">
        <f>SUM(L16:L18)</f>
        <v>0</v>
      </c>
      <c r="M19" s="406">
        <f>SUM(M16:M18)</f>
        <v>0</v>
      </c>
      <c r="N19" s="609">
        <f>COUNTIF(N16:N18,"=x")</f>
        <v>0</v>
      </c>
      <c r="O19" s="608" t="e">
        <f>ROUNDDOWN(N19/D19,4)</f>
        <v>#DIV/0!</v>
      </c>
      <c r="P19" s="153">
        <f>SUM(P16:P18)</f>
        <v>0</v>
      </c>
      <c r="Q19" s="269">
        <f>IF(P19=0,0,SUMIF(Q16:Q18,"x",P16:P18))</f>
        <v>0</v>
      </c>
      <c r="R19" s="608" t="e">
        <f>ROUNDDOWN(Q19/P19,4)</f>
        <v>#DIV/0!</v>
      </c>
      <c r="S19" s="153">
        <f>SUM(S16:S18)</f>
        <v>0</v>
      </c>
      <c r="T19" s="153">
        <f>SUM(T16:T18)</f>
        <v>0</v>
      </c>
      <c r="U19" s="153">
        <f>SUM(U16:U18)</f>
        <v>0</v>
      </c>
      <c r="V19" s="452"/>
    </row>
    <row r="20" spans="1:22" ht="11.25" customHeight="1">
      <c r="A20" s="480" t="s">
        <v>47</v>
      </c>
      <c r="B20" s="700" t="s">
        <v>70</v>
      </c>
      <c r="C20" s="701"/>
      <c r="D20" s="175"/>
      <c r="E20" s="176"/>
      <c r="F20" s="451"/>
      <c r="G20" s="352"/>
      <c r="H20" s="176"/>
      <c r="I20" s="451"/>
      <c r="J20" s="176"/>
      <c r="K20" s="176"/>
      <c r="L20" s="177"/>
      <c r="M20" s="177"/>
      <c r="N20" s="410">
        <f>IF(M19=0,0,SUMIF(N16:N18,"x",M16:M18))</f>
        <v>0</v>
      </c>
      <c r="O20" s="608" t="e">
        <f>ROUNDDOWN(N20/M19,4)</f>
        <v>#DIV/0!</v>
      </c>
      <c r="P20" s="174"/>
      <c r="Q20" s="174"/>
      <c r="R20" s="294"/>
      <c r="S20" s="174"/>
      <c r="T20" s="174"/>
      <c r="U20" s="174"/>
      <c r="V20" s="174"/>
    </row>
    <row r="21" spans="1:22" ht="18.75" customHeight="1">
      <c r="A21" s="480">
        <v>1</v>
      </c>
      <c r="B21" s="15"/>
      <c r="C21" s="15"/>
      <c r="D21" s="18"/>
      <c r="E21" s="17"/>
      <c r="F21" s="417"/>
      <c r="G21" s="348">
        <f>IF(H21&lt;&gt;"",A21&amp;"ic","")</f>
      </c>
      <c r="H21" s="142"/>
      <c r="I21" s="386">
        <f>F21</f>
        <v>0</v>
      </c>
      <c r="J21" s="17"/>
      <c r="K21" s="417"/>
      <c r="L21" s="160"/>
      <c r="M21" s="405">
        <f>K21-L21</f>
        <v>0</v>
      </c>
      <c r="N21" s="411"/>
      <c r="O21" s="152"/>
      <c r="P21" s="146">
        <f>M21</f>
        <v>0</v>
      </c>
      <c r="Q21" s="415"/>
      <c r="R21" s="272"/>
      <c r="S21" s="146">
        <f aca="true" t="shared" si="2" ref="S21:T23">K21</f>
        <v>0</v>
      </c>
      <c r="T21" s="146">
        <f t="shared" si="2"/>
        <v>0</v>
      </c>
      <c r="U21" s="146">
        <f>S21-T21</f>
        <v>0</v>
      </c>
      <c r="V21" s="452"/>
    </row>
    <row r="22" spans="1:22" ht="18.75" customHeight="1">
      <c r="A22" s="480">
        <v>2</v>
      </c>
      <c r="B22" s="15"/>
      <c r="C22" s="15"/>
      <c r="D22" s="18"/>
      <c r="E22" s="17"/>
      <c r="F22" s="417"/>
      <c r="G22" s="348">
        <f>IF(H22&lt;&gt;"",A22&amp;"ic","")</f>
      </c>
      <c r="H22" s="142"/>
      <c r="I22" s="386">
        <f>F22</f>
        <v>0</v>
      </c>
      <c r="J22" s="17"/>
      <c r="K22" s="417"/>
      <c r="L22" s="160"/>
      <c r="M22" s="405">
        <f>K22-L22</f>
        <v>0</v>
      </c>
      <c r="N22" s="411"/>
      <c r="O22" s="152"/>
      <c r="P22" s="146">
        <f>M22</f>
        <v>0</v>
      </c>
      <c r="Q22" s="415"/>
      <c r="R22" s="272"/>
      <c r="S22" s="146">
        <f t="shared" si="2"/>
        <v>0</v>
      </c>
      <c r="T22" s="146">
        <f t="shared" si="2"/>
        <v>0</v>
      </c>
      <c r="U22" s="146">
        <f>S22-T22</f>
        <v>0</v>
      </c>
      <c r="V22" s="452"/>
    </row>
    <row r="23" spans="1:22" ht="18.75" customHeight="1">
      <c r="A23" s="480">
        <v>3</v>
      </c>
      <c r="B23" s="15"/>
      <c r="C23" s="15"/>
      <c r="D23" s="18"/>
      <c r="E23" s="17"/>
      <c r="F23" s="417"/>
      <c r="G23" s="348">
        <f>IF(H23&lt;&gt;"",A23&amp;"ic","")</f>
      </c>
      <c r="H23" s="142"/>
      <c r="I23" s="386">
        <f>F23</f>
        <v>0</v>
      </c>
      <c r="J23" s="17"/>
      <c r="K23" s="417"/>
      <c r="L23" s="160"/>
      <c r="M23" s="405">
        <f>K23-L23</f>
        <v>0</v>
      </c>
      <c r="N23" s="411"/>
      <c r="O23" s="152"/>
      <c r="P23" s="146">
        <f>M23</f>
        <v>0</v>
      </c>
      <c r="Q23" s="415"/>
      <c r="R23" s="272"/>
      <c r="S23" s="146">
        <f t="shared" si="2"/>
        <v>0</v>
      </c>
      <c r="T23" s="146">
        <f t="shared" si="2"/>
        <v>0</v>
      </c>
      <c r="U23" s="146">
        <f>S23-T23</f>
        <v>0</v>
      </c>
      <c r="V23" s="452"/>
    </row>
    <row r="24" spans="1:22" s="56" customFormat="1" ht="13.5" customHeight="1">
      <c r="A24" s="533" t="s">
        <v>18</v>
      </c>
      <c r="B24" s="241"/>
      <c r="C24" s="241"/>
      <c r="D24" s="594">
        <f>COUNTA(D21:D23)</f>
        <v>0</v>
      </c>
      <c r="E24" s="62"/>
      <c r="F24" s="546"/>
      <c r="G24" s="353"/>
      <c r="H24" s="547"/>
      <c r="I24" s="548"/>
      <c r="J24" s="54" t="s">
        <v>13</v>
      </c>
      <c r="K24" s="55">
        <f>SUM(K21:K23)</f>
        <v>0</v>
      </c>
      <c r="L24" s="55">
        <f>SUM(L21:L23)</f>
        <v>0</v>
      </c>
      <c r="M24" s="406">
        <f>SUM(M21:M23)</f>
        <v>0</v>
      </c>
      <c r="N24" s="609">
        <f>COUNTIF(N21:N23,"=x")</f>
        <v>0</v>
      </c>
      <c r="O24" s="608" t="e">
        <f>ROUNDDOWN(N24/D24,4)</f>
        <v>#DIV/0!</v>
      </c>
      <c r="P24" s="153">
        <f>SUM(P21:P23)</f>
        <v>0</v>
      </c>
      <c r="Q24" s="269">
        <f>IF(P24=0,0,SUMIF(Q21:Q23,"x",P21:P23))</f>
        <v>0</v>
      </c>
      <c r="R24" s="608" t="e">
        <f>ROUNDDOWN(Q24/P24,4)</f>
        <v>#DIV/0!</v>
      </c>
      <c r="S24" s="153">
        <f>SUM(S21:S23)</f>
        <v>0</v>
      </c>
      <c r="T24" s="153">
        <f>SUM(T21:T23)</f>
        <v>0</v>
      </c>
      <c r="U24" s="153">
        <f>SUM(U21:U23)</f>
        <v>0</v>
      </c>
      <c r="V24" s="452"/>
    </row>
    <row r="25" spans="1:22" ht="11.25" customHeight="1">
      <c r="A25" s="480" t="s">
        <v>51</v>
      </c>
      <c r="B25" s="700" t="s">
        <v>71</v>
      </c>
      <c r="C25" s="701"/>
      <c r="D25" s="175"/>
      <c r="E25" s="176"/>
      <c r="F25" s="451"/>
      <c r="G25" s="352"/>
      <c r="H25" s="176"/>
      <c r="I25" s="451"/>
      <c r="J25" s="176"/>
      <c r="K25" s="176"/>
      <c r="L25" s="177"/>
      <c r="M25" s="177"/>
      <c r="N25" s="410">
        <f>IF(M24=0,0,SUMIF(N21:N23,"x",M21:M23))</f>
        <v>0</v>
      </c>
      <c r="O25" s="608" t="e">
        <f>ROUNDDOWN(N25/M24,4)</f>
        <v>#DIV/0!</v>
      </c>
      <c r="P25" s="174"/>
      <c r="Q25" s="174"/>
      <c r="R25" s="294"/>
      <c r="S25" s="174"/>
      <c r="T25" s="174"/>
      <c r="U25" s="174"/>
      <c r="V25" s="174"/>
    </row>
    <row r="26" spans="1:22" ht="18.75" customHeight="1">
      <c r="A26" s="480">
        <v>1</v>
      </c>
      <c r="B26" s="15"/>
      <c r="C26" s="15"/>
      <c r="D26" s="18"/>
      <c r="E26" s="17"/>
      <c r="F26" s="417"/>
      <c r="G26" s="348">
        <f>IF(H26&lt;&gt;"",A26&amp;"id","")</f>
      </c>
      <c r="H26" s="142"/>
      <c r="I26" s="386">
        <f>F26</f>
        <v>0</v>
      </c>
      <c r="J26" s="17"/>
      <c r="K26" s="417"/>
      <c r="L26" s="160"/>
      <c r="M26" s="405">
        <f>K26-L26</f>
        <v>0</v>
      </c>
      <c r="N26" s="411"/>
      <c r="O26" s="152"/>
      <c r="P26" s="146">
        <f>M26</f>
        <v>0</v>
      </c>
      <c r="Q26" s="415"/>
      <c r="R26" s="272"/>
      <c r="S26" s="146">
        <f>K26</f>
        <v>0</v>
      </c>
      <c r="T26" s="146">
        <f>L26</f>
        <v>0</v>
      </c>
      <c r="U26" s="146">
        <f>S26-T26</f>
        <v>0</v>
      </c>
      <c r="V26" s="452"/>
    </row>
    <row r="27" spans="1:22" ht="18.75" customHeight="1">
      <c r="A27" s="480">
        <v>2</v>
      </c>
      <c r="B27" s="15"/>
      <c r="C27" s="15"/>
      <c r="D27" s="18"/>
      <c r="E27" s="17"/>
      <c r="F27" s="417"/>
      <c r="G27" s="348">
        <f>IF(H27&lt;&gt;"",A27&amp;"id","")</f>
      </c>
      <c r="H27" s="142"/>
      <c r="I27" s="386">
        <f>F27</f>
        <v>0</v>
      </c>
      <c r="J27" s="17"/>
      <c r="K27" s="417"/>
      <c r="L27" s="160"/>
      <c r="M27" s="405">
        <f>K27-L27</f>
        <v>0</v>
      </c>
      <c r="N27" s="411"/>
      <c r="O27" s="152"/>
      <c r="P27" s="146">
        <f>M27</f>
        <v>0</v>
      </c>
      <c r="Q27" s="415"/>
      <c r="R27" s="273"/>
      <c r="S27" s="146">
        <f>K27</f>
        <v>0</v>
      </c>
      <c r="T27" s="146">
        <f>L27</f>
        <v>0</v>
      </c>
      <c r="U27" s="146">
        <f>S27-T27</f>
        <v>0</v>
      </c>
      <c r="V27" s="452"/>
    </row>
    <row r="28" spans="1:22" s="56" customFormat="1" ht="13.5" customHeight="1">
      <c r="A28" s="533" t="s">
        <v>18</v>
      </c>
      <c r="B28" s="241"/>
      <c r="C28" s="241"/>
      <c r="D28" s="594">
        <f>COUNTA(D26:D27)</f>
        <v>0</v>
      </c>
      <c r="E28" s="62"/>
      <c r="F28" s="546"/>
      <c r="G28" s="353"/>
      <c r="H28" s="547"/>
      <c r="I28" s="548"/>
      <c r="J28" s="54" t="s">
        <v>13</v>
      </c>
      <c r="K28" s="55">
        <f>SUM(K26:K27)</f>
        <v>0</v>
      </c>
      <c r="L28" s="55">
        <f>SUM(L26:L27)</f>
        <v>0</v>
      </c>
      <c r="M28" s="406">
        <f>SUM(M26:M27)</f>
        <v>0</v>
      </c>
      <c r="N28" s="609">
        <f>COUNTIF(N26:N27,"=x")</f>
        <v>0</v>
      </c>
      <c r="O28" s="608" t="e">
        <f>ROUNDDOWN(N28/D28,4)</f>
        <v>#DIV/0!</v>
      </c>
      <c r="P28" s="153">
        <f>SUM(P26:P27)</f>
        <v>0</v>
      </c>
      <c r="Q28" s="269">
        <f>IF(P28=0,0,SUMIF(Q26:Q27,"x",P26:P27))</f>
        <v>0</v>
      </c>
      <c r="R28" s="608" t="e">
        <f>ROUNDDOWN(Q28/P28,4)</f>
        <v>#DIV/0!</v>
      </c>
      <c r="S28" s="153">
        <f>SUM(S26:S27)</f>
        <v>0</v>
      </c>
      <c r="T28" s="153">
        <f>SUM(T26:T27)</f>
        <v>0</v>
      </c>
      <c r="U28" s="153">
        <f>SUM(U26:U27)</f>
        <v>0</v>
      </c>
      <c r="V28" s="452"/>
    </row>
    <row r="29" spans="1:22" ht="11.25" customHeight="1">
      <c r="A29" s="480" t="s">
        <v>52</v>
      </c>
      <c r="B29" s="700" t="s">
        <v>72</v>
      </c>
      <c r="C29" s="701"/>
      <c r="D29" s="175"/>
      <c r="E29" s="176"/>
      <c r="F29" s="451"/>
      <c r="G29" s="352"/>
      <c r="H29" s="176"/>
      <c r="I29" s="451"/>
      <c r="J29" s="176"/>
      <c r="K29" s="176"/>
      <c r="L29" s="177"/>
      <c r="M29" s="177"/>
      <c r="N29" s="410">
        <f>IF(M28=0,0,SUMIF(N26:N27,"x",M26:M27))</f>
        <v>0</v>
      </c>
      <c r="O29" s="608" t="e">
        <f>ROUNDDOWN(N29/M28,4)</f>
        <v>#DIV/0!</v>
      </c>
      <c r="P29" s="268"/>
      <c r="Q29" s="263"/>
      <c r="S29" s="174"/>
      <c r="T29" s="174"/>
      <c r="U29" s="174"/>
      <c r="V29" s="174"/>
    </row>
    <row r="30" spans="1:22" ht="18.75" customHeight="1">
      <c r="A30" s="480">
        <v>1</v>
      </c>
      <c r="B30" s="15"/>
      <c r="C30" s="15"/>
      <c r="D30" s="18"/>
      <c r="E30" s="17"/>
      <c r="F30" s="417"/>
      <c r="G30" s="348">
        <f>IF(H30&lt;&gt;"",A30&amp;"ie","")</f>
      </c>
      <c r="H30" s="142"/>
      <c r="I30" s="386">
        <f>F30</f>
        <v>0</v>
      </c>
      <c r="J30" s="17"/>
      <c r="K30" s="417"/>
      <c r="L30" s="160"/>
      <c r="M30" s="405">
        <f>K30-L30</f>
        <v>0</v>
      </c>
      <c r="N30" s="411"/>
      <c r="O30" s="152"/>
      <c r="P30" s="146">
        <f>M30</f>
        <v>0</v>
      </c>
      <c r="Q30" s="415"/>
      <c r="S30" s="146">
        <f>K30</f>
        <v>0</v>
      </c>
      <c r="T30" s="146">
        <f>L30</f>
        <v>0</v>
      </c>
      <c r="U30" s="146">
        <f>S30-T30</f>
        <v>0</v>
      </c>
      <c r="V30" s="452"/>
    </row>
    <row r="31" spans="1:22" ht="18.75" customHeight="1">
      <c r="A31" s="480">
        <v>2</v>
      </c>
      <c r="B31" s="15"/>
      <c r="C31" s="15"/>
      <c r="D31" s="18"/>
      <c r="E31" s="17"/>
      <c r="F31" s="417"/>
      <c r="G31" s="348">
        <f>IF(H31&lt;&gt;"",A31&amp;"ie","")</f>
      </c>
      <c r="H31" s="142"/>
      <c r="I31" s="386">
        <f>F31</f>
        <v>0</v>
      </c>
      <c r="J31" s="17"/>
      <c r="K31" s="417"/>
      <c r="L31" s="160"/>
      <c r="M31" s="405">
        <f>K31-L31</f>
        <v>0</v>
      </c>
      <c r="N31" s="411"/>
      <c r="O31" s="152"/>
      <c r="P31" s="146">
        <f>M31</f>
        <v>0</v>
      </c>
      <c r="Q31" s="415"/>
      <c r="S31" s="146">
        <f>K31</f>
        <v>0</v>
      </c>
      <c r="T31" s="146">
        <f>L31</f>
        <v>0</v>
      </c>
      <c r="U31" s="146">
        <f>S31-T31</f>
        <v>0</v>
      </c>
      <c r="V31" s="452"/>
    </row>
    <row r="32" spans="1:22" s="56" customFormat="1" ht="13.5" customHeight="1">
      <c r="A32" s="533" t="s">
        <v>18</v>
      </c>
      <c r="B32" s="241"/>
      <c r="C32" s="241"/>
      <c r="D32" s="594">
        <f>COUNTA(D30:D31)</f>
        <v>0</v>
      </c>
      <c r="E32" s="62"/>
      <c r="F32" s="549"/>
      <c r="G32" s="353"/>
      <c r="H32" s="547"/>
      <c r="I32" s="550"/>
      <c r="J32" s="54" t="s">
        <v>13</v>
      </c>
      <c r="K32" s="55">
        <f>SUM(K30:K31)</f>
        <v>0</v>
      </c>
      <c r="L32" s="55">
        <f>SUM(L30:L31)</f>
        <v>0</v>
      </c>
      <c r="M32" s="406">
        <f>SUM(M30:M31)</f>
        <v>0</v>
      </c>
      <c r="N32" s="609">
        <f>COUNTIF(N30:N31,"=x")</f>
        <v>0</v>
      </c>
      <c r="O32" s="608" t="e">
        <f>ROUNDDOWN(N32/D32,4)</f>
        <v>#DIV/0!</v>
      </c>
      <c r="P32" s="153">
        <f>SUM(P30:P31)</f>
        <v>0</v>
      </c>
      <c r="Q32" s="269">
        <f>IF(P32=0,0,SUMIF(Q30:Q31,"x",P30:P31))</f>
        <v>0</v>
      </c>
      <c r="R32" s="608" t="e">
        <f>ROUNDDOWN(Q32/P32,4)</f>
        <v>#DIV/0!</v>
      </c>
      <c r="S32" s="153">
        <f>SUM(S30:S31)</f>
        <v>0</v>
      </c>
      <c r="T32" s="153">
        <f>SUM(T30:T31)</f>
        <v>0</v>
      </c>
      <c r="U32" s="153">
        <f>SUM(U30:U31)</f>
        <v>0</v>
      </c>
      <c r="V32" s="452"/>
    </row>
    <row r="33" spans="2:22" ht="19.5" customHeight="1">
      <c r="B33" s="678" t="s">
        <v>159</v>
      </c>
      <c r="C33" s="678"/>
      <c r="D33" s="678"/>
      <c r="E33" s="678"/>
      <c r="F33" s="678"/>
      <c r="G33" s="678"/>
      <c r="H33" s="678"/>
      <c r="I33" s="678"/>
      <c r="J33" s="678"/>
      <c r="K33" s="139"/>
      <c r="L33" s="139"/>
      <c r="M33" s="536"/>
      <c r="N33" s="410">
        <f>IF(M32=0,0,SUMIF(N30:N31,"x",M30:M31))</f>
        <v>0</v>
      </c>
      <c r="O33" s="608" t="e">
        <f>ROUNDDOWN(N33/M32,4)</f>
        <v>#DIV/0!</v>
      </c>
      <c r="V33" s="453"/>
    </row>
  </sheetData>
  <sheetProtection password="CC84" sheet="1" objects="1" scenarios="1" formatColumns="0" formatRows="0"/>
  <mergeCells count="18">
    <mergeCell ref="B29:C29"/>
    <mergeCell ref="V5:V6"/>
    <mergeCell ref="S5:U5"/>
    <mergeCell ref="N5:N6"/>
    <mergeCell ref="P5:P6"/>
    <mergeCell ref="Q5:Q6"/>
    <mergeCell ref="O5:O6"/>
    <mergeCell ref="R5:R6"/>
    <mergeCell ref="B33:J33"/>
    <mergeCell ref="D5:F5"/>
    <mergeCell ref="G5:J5"/>
    <mergeCell ref="K5:M5"/>
    <mergeCell ref="B5:B6"/>
    <mergeCell ref="C5:C6"/>
    <mergeCell ref="B8:C8"/>
    <mergeCell ref="B15:C15"/>
    <mergeCell ref="B20:C20"/>
    <mergeCell ref="B25:C25"/>
  </mergeCells>
  <conditionalFormatting sqref="K26:K27 K30:K31 K16:K18 K21:K23 K9:K13">
    <cfRule type="cellIs" priority="1" dxfId="2" operator="greaterThan" stopIfTrue="1">
      <formula>F9</formula>
    </cfRule>
  </conditionalFormatting>
  <conditionalFormatting sqref="Q30:Q31 Q21:Q23 Q26:Q27 Q16:Q18 Q9:Q13">
    <cfRule type="cellIs" priority="2" dxfId="2" operator="notEqual" stopIfTrue="1">
      <formula>N9</formula>
    </cfRule>
  </conditionalFormatting>
  <conditionalFormatting sqref="E26:E27 E16:E18 E21:E23 J30:J31 E30:E31 J16:J18 J21:J23 J26:J27 E9:E13 J9:J13">
    <cfRule type="cellIs" priority="3" dxfId="2" operator="lessThan" stopIfTrue="1">
      <formula>$D$1</formula>
    </cfRule>
    <cfRule type="cellIs" priority="4" dxfId="2" operator="greaterThan" stopIfTrue="1">
      <formula>$D$2</formula>
    </cfRule>
  </conditionalFormatting>
  <dataValidations count="1">
    <dataValidation type="list" allowBlank="1" showInputMessage="1" showErrorMessage="1" sqref="H30:H31 H26:H27 H16:H18 H21:H23 H9:H13">
      <formula1>tipopagamento</formula1>
    </dataValidation>
  </dataValidations>
  <printOptions/>
  <pageMargins left="0.2" right="0.15748031496062992" top="0.3937007874015748" bottom="0.3937007874015748" header="0.31496062992125984" footer="0.3937007874015748"/>
  <pageSetup fitToHeight="100" fitToWidth="1" horizontalDpi="600" verticalDpi="600" orientation="landscape" paperSize="9" r:id="rId1"/>
  <headerFooter alignWithMargins="0">
    <oddFooter>&amp;R&amp;"Verdana,Normale"&amp;8&amp;P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0">
    <tabColor indexed="25"/>
    <pageSetUpPr fitToPage="1"/>
  </sheetPr>
  <dimension ref="A1:X12"/>
  <sheetViews>
    <sheetView workbookViewId="0" topLeftCell="A1">
      <selection activeCell="B3" sqref="B3"/>
    </sheetView>
  </sheetViews>
  <sheetFormatPr defaultColWidth="9.140625" defaultRowHeight="12.75"/>
  <cols>
    <col min="1" max="1" width="2.00390625" style="478" customWidth="1"/>
    <col min="2" max="2" width="25.00390625" style="19" customWidth="1"/>
    <col min="3" max="3" width="25.7109375" style="19" customWidth="1"/>
    <col min="4" max="4" width="6.421875" style="23" customWidth="1"/>
    <col min="5" max="5" width="6.421875" style="27" customWidth="1"/>
    <col min="6" max="6" width="10.8515625" style="19" customWidth="1"/>
    <col min="7" max="7" width="4.421875" style="350" customWidth="1"/>
    <col min="8" max="8" width="8.8515625" style="140" customWidth="1"/>
    <col min="9" max="9" width="10.8515625" style="27" customWidth="1"/>
    <col min="10" max="10" width="9.28125" style="534" customWidth="1"/>
    <col min="11" max="11" width="11.28125" style="19" customWidth="1"/>
    <col min="12" max="12" width="2.57421875" style="58" customWidth="1"/>
    <col min="13" max="13" width="10.8515625" style="246" customWidth="1"/>
    <col min="14" max="14" width="11.140625" style="19" customWidth="1"/>
    <col min="15" max="15" width="4.421875" style="409" hidden="1" customWidth="1"/>
    <col min="16" max="16" width="5.8515625" style="270" hidden="1" customWidth="1"/>
    <col min="17" max="17" width="11.421875" style="108" hidden="1" customWidth="1"/>
    <col min="18" max="18" width="1.7109375" style="502" hidden="1" customWidth="1"/>
    <col min="19" max="19" width="4.28125" style="262" hidden="1" customWidth="1"/>
    <col min="20" max="20" width="5.421875" style="270" hidden="1" customWidth="1"/>
    <col min="21" max="23" width="10.8515625" style="147" hidden="1" customWidth="1"/>
    <col min="24" max="24" width="44.28125" style="180" hidden="1" customWidth="1"/>
    <col min="25" max="25" width="9.140625" style="19" customWidth="1"/>
    <col min="26" max="26" width="9.421875" style="19" customWidth="1"/>
    <col min="27" max="16384" width="9.140625" style="19" customWidth="1"/>
  </cols>
  <sheetData>
    <row r="1" spans="1:24" ht="17.25" customHeight="1">
      <c r="A1" s="477"/>
      <c r="B1" s="72" t="s">
        <v>32</v>
      </c>
      <c r="C1" s="72"/>
      <c r="D1" s="165">
        <f>datainizioprogetto</f>
        <v>0</v>
      </c>
      <c r="F1" s="48"/>
      <c r="G1" s="349"/>
      <c r="H1" s="141"/>
      <c r="M1" s="242"/>
      <c r="N1" s="49" t="s">
        <v>11</v>
      </c>
      <c r="O1" s="403" t="s">
        <v>124</v>
      </c>
      <c r="U1" s="347"/>
      <c r="V1" s="347"/>
      <c r="W1" s="347"/>
      <c r="X1" s="49" t="s">
        <v>11</v>
      </c>
    </row>
    <row r="2" spans="1:24" ht="17.25" customHeight="1" thickBot="1">
      <c r="A2" s="477"/>
      <c r="D2" s="165">
        <f>datafineprogetto</f>
        <v>0</v>
      </c>
      <c r="F2" s="48"/>
      <c r="G2" s="349"/>
      <c r="H2" s="141"/>
      <c r="M2" s="97"/>
      <c r="N2" s="50" t="s">
        <v>172</v>
      </c>
      <c r="O2" s="407"/>
      <c r="Q2" s="264"/>
      <c r="R2" s="503"/>
      <c r="S2" s="261"/>
      <c r="T2" s="271"/>
      <c r="U2" s="145"/>
      <c r="V2" s="145"/>
      <c r="W2" s="145"/>
      <c r="X2" s="50" t="s">
        <v>172</v>
      </c>
    </row>
    <row r="3" spans="2:24" ht="24.75" customHeight="1" thickBot="1" thickTop="1">
      <c r="B3" s="46" t="s">
        <v>170</v>
      </c>
      <c r="C3" s="46"/>
      <c r="E3" s="59"/>
      <c r="H3" s="19"/>
      <c r="I3" s="164"/>
      <c r="M3" s="360"/>
      <c r="N3" s="362"/>
      <c r="O3" s="408"/>
      <c r="P3" s="338"/>
      <c r="Q3" s="338"/>
      <c r="R3" s="504"/>
      <c r="S3" s="338"/>
      <c r="T3" s="338"/>
      <c r="U3" s="340" t="s">
        <v>87</v>
      </c>
      <c r="V3" s="340"/>
      <c r="W3" s="340"/>
      <c r="X3" s="339"/>
    </row>
    <row r="4" spans="2:24" ht="11.25" customHeight="1" thickTop="1">
      <c r="B4" s="148"/>
      <c r="C4" s="148"/>
      <c r="E4" s="59"/>
      <c r="F4" s="39"/>
      <c r="H4" s="19"/>
      <c r="M4" s="361"/>
      <c r="N4" s="362"/>
      <c r="U4" s="265"/>
      <c r="V4" s="265"/>
      <c r="W4" s="265"/>
      <c r="X4" s="266"/>
    </row>
    <row r="5" spans="2:24" ht="6.75" customHeight="1">
      <c r="B5" s="48"/>
      <c r="C5" s="48"/>
      <c r="E5" s="59"/>
      <c r="F5" s="39"/>
      <c r="H5" s="19"/>
      <c r="K5" s="154"/>
      <c r="L5" s="499"/>
      <c r="M5" s="244"/>
      <c r="N5" s="154"/>
      <c r="U5" s="267"/>
      <c r="V5" s="267"/>
      <c r="W5" s="267"/>
      <c r="X5" s="187"/>
    </row>
    <row r="6" spans="1:24" s="52" customFormat="1" ht="13.5" customHeight="1">
      <c r="A6" s="479"/>
      <c r="B6" s="670" t="s">
        <v>109</v>
      </c>
      <c r="C6" s="670" t="s">
        <v>167</v>
      </c>
      <c r="D6" s="667" t="s">
        <v>54</v>
      </c>
      <c r="E6" s="668"/>
      <c r="F6" s="669"/>
      <c r="G6" s="673" t="s">
        <v>133</v>
      </c>
      <c r="H6" s="674"/>
      <c r="I6" s="674"/>
      <c r="J6" s="675"/>
      <c r="K6" s="655" t="s">
        <v>136</v>
      </c>
      <c r="L6" s="659"/>
      <c r="M6" s="659"/>
      <c r="N6" s="656"/>
      <c r="O6" s="660" t="s">
        <v>99</v>
      </c>
      <c r="P6" s="666" t="s">
        <v>174</v>
      </c>
      <c r="Q6" s="662" t="s">
        <v>101</v>
      </c>
      <c r="R6" s="643" t="str">
        <f>L7</f>
        <v> R / S</v>
      </c>
      <c r="S6" s="664" t="s">
        <v>100</v>
      </c>
      <c r="T6" s="666" t="s">
        <v>174</v>
      </c>
      <c r="U6" s="617" t="s">
        <v>125</v>
      </c>
      <c r="V6" s="618"/>
      <c r="W6" s="642"/>
      <c r="X6" s="676" t="s">
        <v>59</v>
      </c>
    </row>
    <row r="7" spans="1:24" ht="30.75" customHeight="1">
      <c r="A7" s="480"/>
      <c r="B7" s="671"/>
      <c r="C7" s="671"/>
      <c r="D7" s="43" t="s">
        <v>55</v>
      </c>
      <c r="E7" s="31" t="s">
        <v>57</v>
      </c>
      <c r="F7" s="43" t="s">
        <v>111</v>
      </c>
      <c r="G7" s="351" t="s">
        <v>55</v>
      </c>
      <c r="H7" s="138" t="s">
        <v>134</v>
      </c>
      <c r="I7" s="138" t="s">
        <v>62</v>
      </c>
      <c r="J7" s="138" t="s">
        <v>135</v>
      </c>
      <c r="K7" s="240" t="s">
        <v>165</v>
      </c>
      <c r="L7" s="44" t="str">
        <f>IF(riepilogo!scelta="I"," P / O"," R / S")</f>
        <v> R / S</v>
      </c>
      <c r="M7" s="43" t="s">
        <v>82</v>
      </c>
      <c r="N7" s="388" t="s">
        <v>84</v>
      </c>
      <c r="O7" s="661"/>
      <c r="P7" s="666"/>
      <c r="Q7" s="663"/>
      <c r="R7" s="644"/>
      <c r="S7" s="665"/>
      <c r="T7" s="666"/>
      <c r="U7" s="260" t="s">
        <v>93</v>
      </c>
      <c r="V7" s="259" t="s">
        <v>82</v>
      </c>
      <c r="W7" s="259" t="s">
        <v>84</v>
      </c>
      <c r="X7" s="677"/>
    </row>
    <row r="8" spans="1:24" ht="28.5" customHeight="1">
      <c r="A8" s="480">
        <v>1</v>
      </c>
      <c r="B8" s="15"/>
      <c r="C8" s="15" t="s">
        <v>168</v>
      </c>
      <c r="D8" s="18"/>
      <c r="E8" s="17"/>
      <c r="F8" s="417"/>
      <c r="G8" s="348">
        <f>IF(H8&lt;&gt;"",A8&amp;"h","")</f>
      </c>
      <c r="H8" s="142"/>
      <c r="I8" s="386">
        <f>IF(F8=0,0,F8)</f>
        <v>0</v>
      </c>
      <c r="J8" s="17"/>
      <c r="K8" s="160"/>
      <c r="L8" s="64"/>
      <c r="M8" s="160"/>
      <c r="N8" s="405">
        <f>K8-M8</f>
        <v>0</v>
      </c>
      <c r="O8" s="411"/>
      <c r="Q8" s="146">
        <f>N8</f>
        <v>0</v>
      </c>
      <c r="R8" s="531">
        <f>IF(L8="","",L8)</f>
      </c>
      <c r="S8" s="415"/>
      <c r="T8" s="272"/>
      <c r="U8" s="146">
        <f>K8</f>
        <v>0</v>
      </c>
      <c r="V8" s="146">
        <f>M8</f>
        <v>0</v>
      </c>
      <c r="W8" s="146">
        <f>U8-V8</f>
        <v>0</v>
      </c>
      <c r="X8" s="445"/>
    </row>
    <row r="9" spans="1:24" ht="28.5" customHeight="1">
      <c r="A9" s="480">
        <v>2</v>
      </c>
      <c r="B9" s="15"/>
      <c r="C9" s="15" t="s">
        <v>166</v>
      </c>
      <c r="D9" s="18"/>
      <c r="E9" s="17"/>
      <c r="F9" s="417"/>
      <c r="G9" s="348">
        <f>IF(H9&lt;&gt;"",A9&amp;"h","")</f>
      </c>
      <c r="H9" s="142"/>
      <c r="I9" s="386">
        <f>IF(F9=0,0,F9)</f>
        <v>0</v>
      </c>
      <c r="J9" s="17"/>
      <c r="K9" s="160"/>
      <c r="L9" s="64"/>
      <c r="M9" s="160"/>
      <c r="N9" s="405">
        <f>K9-M9</f>
        <v>0</v>
      </c>
      <c r="O9" s="411"/>
      <c r="P9" s="272"/>
      <c r="Q9" s="146">
        <f>N9</f>
        <v>0</v>
      </c>
      <c r="R9" s="531">
        <f>IF(L9="","",L9)</f>
      </c>
      <c r="S9" s="415"/>
      <c r="T9" s="272"/>
      <c r="U9" s="146">
        <f>K9</f>
        <v>0</v>
      </c>
      <c r="V9" s="146">
        <f>M9</f>
        <v>0</v>
      </c>
      <c r="W9" s="146">
        <f>U9-V9</f>
        <v>0</v>
      </c>
      <c r="X9" s="445"/>
    </row>
    <row r="10" spans="1:24" s="56" customFormat="1" ht="19.5" customHeight="1">
      <c r="A10" s="533" t="s">
        <v>18</v>
      </c>
      <c r="B10" s="45"/>
      <c r="C10" s="122"/>
      <c r="D10" s="594">
        <f>COUNTA(D8:D9)</f>
        <v>0</v>
      </c>
      <c r="E10" s="62"/>
      <c r="F10" s="591"/>
      <c r="G10" s="354">
        <f>IF(H10&lt;&gt;"",A10&amp;"d","")</f>
      </c>
      <c r="H10" s="54"/>
      <c r="I10" s="62"/>
      <c r="J10" s="62"/>
      <c r="K10" s="55">
        <f>SUM(K8:K9)</f>
        <v>0</v>
      </c>
      <c r="L10" s="500"/>
      <c r="M10" s="55">
        <f>SUM(M8:M9)</f>
        <v>0</v>
      </c>
      <c r="N10" s="406">
        <f>SUM(N8:N9)</f>
        <v>0</v>
      </c>
      <c r="O10" s="606">
        <f>COUNTIF(O8:O9,"=x")</f>
        <v>0</v>
      </c>
      <c r="P10" s="608" t="e">
        <f>ROUNDDOWN(O10/D10,4)</f>
        <v>#DIV/0!</v>
      </c>
      <c r="Q10" s="153">
        <f>SUM(Q8:Q9)</f>
        <v>0</v>
      </c>
      <c r="R10" s="506"/>
      <c r="S10" s="490"/>
      <c r="T10" s="486"/>
      <c r="U10" s="153">
        <f>SUM(U8:U9)</f>
        <v>0</v>
      </c>
      <c r="V10" s="153">
        <f>SUM(V8:V9)</f>
        <v>0</v>
      </c>
      <c r="W10" s="153">
        <f>SUM(W8:W9)</f>
        <v>0</v>
      </c>
      <c r="X10" s="445"/>
    </row>
    <row r="11" spans="2:23" ht="15" customHeight="1">
      <c r="B11" s="672" t="s">
        <v>169</v>
      </c>
      <c r="C11" s="672"/>
      <c r="D11" s="672"/>
      <c r="E11" s="672"/>
      <c r="F11" s="672"/>
      <c r="G11" s="672"/>
      <c r="H11" s="672"/>
      <c r="I11" s="139"/>
      <c r="J11" s="535"/>
      <c r="K11" s="580"/>
      <c r="L11" s="581"/>
      <c r="M11" s="580"/>
      <c r="N11" s="580"/>
      <c r="O11" s="410">
        <f>IF(N10=0,0,SUMIF(O8:O9,"x",N8:N9))</f>
        <v>0</v>
      </c>
      <c r="P11" s="608" t="e">
        <f>ROUNDDOWN(O11/N10,4)</f>
        <v>#DIV/0!</v>
      </c>
      <c r="Q11" s="583"/>
      <c r="R11" s="584"/>
      <c r="S11" s="269">
        <f>IF(Q10=0,0,SUMIF(S8:S9,"x",Q8:Q9))</f>
        <v>0</v>
      </c>
      <c r="T11" s="608" t="e">
        <f>ROUNDDOWN(S11/Q10,4)</f>
        <v>#DIV/0!</v>
      </c>
      <c r="U11" s="585">
        <f>SUM(U10:U10)</f>
        <v>0</v>
      </c>
      <c r="V11" s="585">
        <f>SUM(V10:V10)</f>
        <v>0</v>
      </c>
      <c r="W11" s="585">
        <f>SUM(W10:W10)</f>
        <v>0</v>
      </c>
    </row>
    <row r="12" spans="2:8" ht="28.5" customHeight="1">
      <c r="B12" s="672"/>
      <c r="C12" s="672"/>
      <c r="D12" s="672"/>
      <c r="E12" s="672"/>
      <c r="F12" s="672"/>
      <c r="G12" s="672"/>
      <c r="H12" s="672"/>
    </row>
  </sheetData>
  <sheetProtection password="CC84" sheet="1" objects="1" scenarios="1" formatColumns="0" formatRows="0"/>
  <mergeCells count="14">
    <mergeCell ref="S6:S7"/>
    <mergeCell ref="C6:C7"/>
    <mergeCell ref="K6:N6"/>
    <mergeCell ref="X6:X7"/>
    <mergeCell ref="U6:W6"/>
    <mergeCell ref="O6:O7"/>
    <mergeCell ref="Q6:Q7"/>
    <mergeCell ref="R6:R7"/>
    <mergeCell ref="P6:P7"/>
    <mergeCell ref="T6:T7"/>
    <mergeCell ref="B6:B7"/>
    <mergeCell ref="G6:J6"/>
    <mergeCell ref="D6:F6"/>
    <mergeCell ref="B11:H12"/>
  </mergeCells>
  <conditionalFormatting sqref="N10">
    <cfRule type="cellIs" priority="1" dxfId="2" operator="greaterThan" stopIfTrue="1">
      <formula>2500</formula>
    </cfRule>
  </conditionalFormatting>
  <conditionalFormatting sqref="S8:S9">
    <cfRule type="cellIs" priority="2" dxfId="2" operator="notEqual" stopIfTrue="1">
      <formula>O8</formula>
    </cfRule>
  </conditionalFormatting>
  <conditionalFormatting sqref="E8:E9">
    <cfRule type="cellIs" priority="3" dxfId="2" operator="lessThan" stopIfTrue="1">
      <formula>$D$1</formula>
    </cfRule>
    <cfRule type="cellIs" priority="4" dxfId="2" operator="greaterThan" stopIfTrue="1">
      <formula>$D$2</formula>
    </cfRule>
  </conditionalFormatting>
  <conditionalFormatting sqref="R8:R9 L8:L9">
    <cfRule type="cellIs" priority="5" dxfId="0" operator="equal" stopIfTrue="1">
      <formula>"S"</formula>
    </cfRule>
    <cfRule type="cellIs" priority="6" dxfId="1" operator="equal" stopIfTrue="1">
      <formula>"O"</formula>
    </cfRule>
  </conditionalFormatting>
  <dataValidations count="2">
    <dataValidation type="list" allowBlank="1" showInputMessage="1" showErrorMessage="1" sqref="H8:H9">
      <formula1>tipopagamento</formula1>
    </dataValidation>
    <dataValidation allowBlank="1" showInputMessage="1" showErrorMessage="1" prompt="le righe si possono allargare" sqref="B8:B9"/>
  </dataValidations>
  <printOptions/>
  <pageMargins left="0.2362204724409449" right="0.15748031496062992" top="0.3937007874015748" bottom="0.3937007874015748" header="0.31496062992125984" footer="0.3937007874015748"/>
  <pageSetup fitToHeight="100" fitToWidth="1" horizontalDpi="600" verticalDpi="600" orientation="landscape" paperSize="9" r:id="rId1"/>
  <headerFooter alignWithMargins="0">
    <oddFooter>&amp;R&amp;"Verdana,Normale"&amp;8&amp;P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0">
    <tabColor indexed="50"/>
    <pageSetUpPr fitToPage="1"/>
  </sheetPr>
  <dimension ref="A1:Y46"/>
  <sheetViews>
    <sheetView workbookViewId="0" topLeftCell="A1">
      <selection activeCell="B4" sqref="B4:D4"/>
    </sheetView>
  </sheetViews>
  <sheetFormatPr defaultColWidth="9.140625" defaultRowHeight="12.75"/>
  <cols>
    <col min="1" max="1" width="3.7109375" style="239" customWidth="1"/>
    <col min="2" max="2" width="21.57421875" style="26" customWidth="1"/>
    <col min="3" max="3" width="8.28125" style="28" customWidth="1"/>
    <col min="4" max="4" width="8.57421875" style="28" customWidth="1"/>
    <col min="5" max="5" width="6.00390625" style="13" customWidth="1"/>
    <col min="6" max="6" width="3.8515625" style="13" customWidth="1"/>
    <col min="7" max="7" width="7.140625" style="374" customWidth="1"/>
    <col min="8" max="8" width="12.57421875" style="35" customWidth="1"/>
    <col min="9" max="9" width="14.00390625" style="35" customWidth="1"/>
    <col min="10" max="10" width="14.421875" style="35" customWidth="1"/>
    <col min="11" max="11" width="6.7109375" style="420" hidden="1" customWidth="1"/>
    <col min="12" max="12" width="8.28125" style="209" hidden="1" customWidth="1"/>
    <col min="13" max="13" width="0.85546875" style="219" hidden="1" customWidth="1"/>
    <col min="14" max="14" width="6.8515625" style="365" hidden="1" customWidth="1"/>
    <col min="15" max="15" width="8.28125" style="209" hidden="1" customWidth="1"/>
    <col min="16" max="16" width="1.7109375" style="209" hidden="1" customWidth="1"/>
    <col min="17" max="17" width="7.421875" style="384" hidden="1" customWidth="1"/>
    <col min="18" max="18" width="8.28125" style="222" hidden="1" customWidth="1"/>
    <col min="19" max="19" width="0.9921875" style="285" hidden="1" customWidth="1"/>
    <col min="20" max="20" width="4.7109375" style="222" hidden="1" customWidth="1"/>
    <col min="21" max="21" width="5.421875" style="384" hidden="1" customWidth="1"/>
    <col min="22" max="24" width="10.8515625" style="222" hidden="1" customWidth="1"/>
    <col min="25" max="25" width="11.00390625" style="180" hidden="1" customWidth="1"/>
    <col min="26" max="16384" width="9.140625" style="26" customWidth="1"/>
  </cols>
  <sheetData>
    <row r="1" spans="1:25" s="47" customFormat="1" ht="2.25" customHeight="1">
      <c r="A1" s="236" t="s">
        <v>36</v>
      </c>
      <c r="B1" s="72" t="s">
        <v>77</v>
      </c>
      <c r="D1" s="68"/>
      <c r="E1" s="440"/>
      <c r="F1" s="440"/>
      <c r="G1" s="371"/>
      <c r="H1" s="20"/>
      <c r="I1" s="20"/>
      <c r="J1" s="20"/>
      <c r="K1" s="420"/>
      <c r="L1" s="209"/>
      <c r="M1" s="70" t="s">
        <v>29</v>
      </c>
      <c r="N1" s="365"/>
      <c r="O1" s="209"/>
      <c r="P1" s="209"/>
      <c r="Q1" s="382"/>
      <c r="R1" s="213"/>
      <c r="S1" s="279"/>
      <c r="T1" s="213"/>
      <c r="U1" s="382"/>
      <c r="V1" s="213"/>
      <c r="W1" s="213"/>
      <c r="X1" s="213"/>
      <c r="Y1" s="180"/>
    </row>
    <row r="2" spans="1:24" s="49" customFormat="1" ht="17.25" customHeight="1">
      <c r="A2" s="237"/>
      <c r="B2" s="72"/>
      <c r="D2" s="69"/>
      <c r="E2" s="441"/>
      <c r="F2" s="441"/>
      <c r="G2" s="372"/>
      <c r="H2" s="21"/>
      <c r="I2" s="21"/>
      <c r="J2" s="21" t="s">
        <v>11</v>
      </c>
      <c r="K2" s="403" t="s">
        <v>124</v>
      </c>
      <c r="L2" s="209"/>
      <c r="M2" s="70"/>
      <c r="N2" s="365"/>
      <c r="O2" s="209"/>
      <c r="P2" s="209"/>
      <c r="Q2" s="382"/>
      <c r="R2" s="213"/>
      <c r="S2" s="279"/>
      <c r="T2" s="213"/>
      <c r="U2" s="382"/>
      <c r="V2" s="213"/>
      <c r="W2" s="213"/>
      <c r="X2" s="21" t="s">
        <v>11</v>
      </c>
    </row>
    <row r="3" spans="1:24" s="50" customFormat="1" ht="17.25" customHeight="1" thickBot="1">
      <c r="A3" s="238"/>
      <c r="D3" s="73"/>
      <c r="E3" s="442"/>
      <c r="F3" s="442"/>
      <c r="G3" s="373"/>
      <c r="J3" s="50" t="s">
        <v>144</v>
      </c>
      <c r="K3" s="420"/>
      <c r="L3" s="209"/>
      <c r="M3" s="70"/>
      <c r="N3" s="365"/>
      <c r="O3" s="209"/>
      <c r="P3" s="209"/>
      <c r="Q3" s="382"/>
      <c r="R3" s="213"/>
      <c r="S3" s="279"/>
      <c r="T3" s="213"/>
      <c r="U3" s="382"/>
      <c r="V3" s="213"/>
      <c r="W3" s="213"/>
      <c r="X3" s="50" t="s">
        <v>144</v>
      </c>
    </row>
    <row r="4" spans="1:24" ht="23.25" customHeight="1" thickBot="1" thickTop="1">
      <c r="A4" s="238"/>
      <c r="B4" s="624" t="s">
        <v>21</v>
      </c>
      <c r="C4" s="624"/>
      <c r="D4" s="624"/>
      <c r="I4" s="359"/>
      <c r="J4" s="362"/>
      <c r="K4" s="421"/>
      <c r="L4" s="338"/>
      <c r="M4" s="338"/>
      <c r="N4" s="380"/>
      <c r="O4" s="338"/>
      <c r="P4" s="338"/>
      <c r="Q4" s="383"/>
      <c r="R4" s="340"/>
      <c r="S4" s="340"/>
      <c r="T4" s="340"/>
      <c r="U4" s="383" t="s">
        <v>87</v>
      </c>
      <c r="V4" s="338"/>
      <c r="W4" s="338"/>
      <c r="X4" s="339"/>
    </row>
    <row r="5" spans="1:25" ht="6.75" customHeight="1" thickTop="1">
      <c r="A5" s="238"/>
      <c r="D5" s="27"/>
      <c r="I5" s="358"/>
      <c r="J5" s="362"/>
      <c r="L5" s="210"/>
      <c r="M5" s="71"/>
      <c r="N5" s="366"/>
      <c r="O5" s="210"/>
      <c r="P5" s="210"/>
      <c r="Q5" s="366"/>
      <c r="R5" s="105"/>
      <c r="S5" s="278"/>
      <c r="T5" s="105"/>
      <c r="U5" s="366"/>
      <c r="V5" s="105"/>
      <c r="W5" s="105"/>
      <c r="X5" s="105"/>
      <c r="Y5" s="187"/>
    </row>
    <row r="6" spans="1:25" s="19" customFormat="1" ht="10.5" customHeight="1">
      <c r="A6" s="207"/>
      <c r="B6" s="293" t="s">
        <v>23</v>
      </c>
      <c r="C6" s="287"/>
      <c r="D6" s="288"/>
      <c r="E6" s="289"/>
      <c r="F6" s="493"/>
      <c r="G6" s="375"/>
      <c r="H6" s="614" t="s">
        <v>60</v>
      </c>
      <c r="I6" s="614"/>
      <c r="J6" s="418"/>
      <c r="K6" s="615" t="s">
        <v>88</v>
      </c>
      <c r="L6" s="613"/>
      <c r="M6" s="124"/>
      <c r="N6" s="625" t="s">
        <v>102</v>
      </c>
      <c r="O6" s="613"/>
      <c r="P6" s="646" t="str">
        <f>F7</f>
        <v> R/S</v>
      </c>
      <c r="Q6" s="625" t="s">
        <v>89</v>
      </c>
      <c r="R6" s="613"/>
      <c r="S6" s="280"/>
      <c r="T6" s="617" t="s">
        <v>60</v>
      </c>
      <c r="U6" s="618"/>
      <c r="V6" s="618"/>
      <c r="W6" s="618"/>
      <c r="X6" s="642"/>
      <c r="Y6" s="643" t="s">
        <v>59</v>
      </c>
    </row>
    <row r="7" spans="1:25" s="19" customFormat="1" ht="21.75" customHeight="1">
      <c r="A7" s="207" t="s">
        <v>49</v>
      </c>
      <c r="B7" s="30" t="s">
        <v>2</v>
      </c>
      <c r="C7" s="31" t="s">
        <v>22</v>
      </c>
      <c r="D7" s="31" t="s">
        <v>115</v>
      </c>
      <c r="E7" s="32" t="s">
        <v>35</v>
      </c>
      <c r="F7" s="32" t="s">
        <v>141</v>
      </c>
      <c r="G7" s="363" t="s">
        <v>0</v>
      </c>
      <c r="H7" s="33" t="s">
        <v>1</v>
      </c>
      <c r="I7" s="43" t="s">
        <v>82</v>
      </c>
      <c r="J7" s="388" t="s">
        <v>84</v>
      </c>
      <c r="K7" s="422" t="s">
        <v>95</v>
      </c>
      <c r="L7" s="106" t="s">
        <v>96</v>
      </c>
      <c r="M7" s="125"/>
      <c r="N7" s="444" t="s">
        <v>97</v>
      </c>
      <c r="O7" s="106" t="s">
        <v>98</v>
      </c>
      <c r="P7" s="647"/>
      <c r="Q7" s="364" t="s">
        <v>95</v>
      </c>
      <c r="R7" s="106" t="s">
        <v>96</v>
      </c>
      <c r="S7" s="281"/>
      <c r="T7" s="286" t="s">
        <v>35</v>
      </c>
      <c r="U7" s="381" t="s">
        <v>0</v>
      </c>
      <c r="V7" s="107" t="s">
        <v>1</v>
      </c>
      <c r="W7" s="109" t="s">
        <v>82</v>
      </c>
      <c r="X7" s="109" t="s">
        <v>28</v>
      </c>
      <c r="Y7" s="644"/>
    </row>
    <row r="8" spans="1:25" s="19" customFormat="1" ht="13.5" customHeight="1">
      <c r="A8" s="239"/>
      <c r="B8" s="248"/>
      <c r="C8" s="249"/>
      <c r="D8" s="249"/>
      <c r="E8" s="494"/>
      <c r="F8" s="64"/>
      <c r="G8" s="376"/>
      <c r="H8" s="191">
        <f>IF(E8="terzi","spesa tra i terzi",IF(E8=0,0,E8*G8))</f>
        <v>0</v>
      </c>
      <c r="I8" s="256"/>
      <c r="J8" s="419">
        <f>IF(AND(H8&lt;&gt;"",H8&lt;&gt;"spesa tra i terzi"),H8-I8,0)</f>
        <v>0</v>
      </c>
      <c r="K8" s="436"/>
      <c r="L8" s="495">
        <f>IF(T8="terzi","terzi",IF(T8="","",T8*K8))</f>
        <v>0</v>
      </c>
      <c r="M8" s="169"/>
      <c r="N8" s="437">
        <f>G8</f>
        <v>0</v>
      </c>
      <c r="O8" s="496">
        <f>IF(T8="terzi","terzi",IF(T8="","",(T8*N8)-I8))</f>
        <v>0</v>
      </c>
      <c r="P8" s="495">
        <f>IF(F8="","",F8)</f>
      </c>
      <c r="Q8" s="438"/>
      <c r="R8" s="495">
        <f>IF(T8="terzi","terzi",IF(T8=0,0,T8*Q8))</f>
        <v>0</v>
      </c>
      <c r="S8" s="282"/>
      <c r="T8" s="437">
        <f>E8</f>
        <v>0</v>
      </c>
      <c r="U8" s="437">
        <f>N8</f>
        <v>0</v>
      </c>
      <c r="V8" s="495">
        <f>IF(T8="terzi","spesa tra i terzi",IF(T8=0,0,T8*U8))</f>
        <v>0</v>
      </c>
      <c r="W8" s="495">
        <f>IF(T8="terzi","spesa tra i terzi",I8)</f>
        <v>0</v>
      </c>
      <c r="X8" s="495">
        <f>IF(V8="spesa tra i terzi",0,IF(V8=0,0,V8-W8))</f>
        <v>0</v>
      </c>
      <c r="Y8" s="445"/>
    </row>
    <row r="9" spans="1:25" s="19" customFormat="1" ht="13.5" customHeight="1">
      <c r="A9" s="239"/>
      <c r="B9" s="248"/>
      <c r="C9" s="249"/>
      <c r="D9" s="249"/>
      <c r="E9" s="494"/>
      <c r="F9" s="64"/>
      <c r="G9" s="376"/>
      <c r="H9" s="191">
        <f>IF(E9="terzi","spesa tra i terzi",IF(E9=0,0,E9*G9))</f>
        <v>0</v>
      </c>
      <c r="I9" s="256"/>
      <c r="J9" s="419">
        <f>IF(AND(H9&lt;&gt;"",H9&lt;&gt;"spesa tra i terzi"),H9-I9,0)</f>
        <v>0</v>
      </c>
      <c r="K9" s="436"/>
      <c r="L9" s="495">
        <f>IF(T9="terzi","terzi",IF(T9="","",T9*K9))</f>
        <v>0</v>
      </c>
      <c r="M9" s="169"/>
      <c r="N9" s="437">
        <f>G9</f>
        <v>0</v>
      </c>
      <c r="O9" s="496">
        <f>IF(T9="terzi","terzi",IF(T9="","",(T9*N9)-I9))</f>
        <v>0</v>
      </c>
      <c r="P9" s="495">
        <f>IF(F9="","",F9)</f>
      </c>
      <c r="Q9" s="438"/>
      <c r="R9" s="495">
        <f>IF(T9="terzi","terzi",IF(T9=0,0,T9*Q9))</f>
        <v>0</v>
      </c>
      <c r="S9" s="282"/>
      <c r="T9" s="437">
        <f>E9</f>
        <v>0</v>
      </c>
      <c r="U9" s="437">
        <f>N9</f>
        <v>0</v>
      </c>
      <c r="V9" s="495">
        <f>IF(T9="terzi","spesa tra i terzi",IF(T9=0,0,T9*U9))</f>
        <v>0</v>
      </c>
      <c r="W9" s="495">
        <f>IF(T9="terzi","spesa tra i terzi",I9)</f>
        <v>0</v>
      </c>
      <c r="X9" s="495">
        <f>IF(V9="spesa tra i terzi",0,IF(V9=0,0,V9-W9))</f>
        <v>0</v>
      </c>
      <c r="Y9" s="445"/>
    </row>
    <row r="10" spans="1:25" s="19" customFormat="1" ht="12" customHeight="1">
      <c r="A10" s="238" t="s">
        <v>18</v>
      </c>
      <c r="C10" s="27"/>
      <c r="D10" s="27"/>
      <c r="E10" s="24"/>
      <c r="F10" s="24"/>
      <c r="G10" s="377"/>
      <c r="H10" s="25"/>
      <c r="I10" s="25"/>
      <c r="J10" s="25"/>
      <c r="K10" s="420"/>
      <c r="L10" s="210"/>
      <c r="M10" s="71"/>
      <c r="N10" s="366"/>
      <c r="O10" s="210"/>
      <c r="P10" s="210"/>
      <c r="Q10" s="366"/>
      <c r="R10" s="105"/>
      <c r="S10" s="278"/>
      <c r="T10" s="105"/>
      <c r="U10" s="366"/>
      <c r="V10" s="105"/>
      <c r="W10" s="105"/>
      <c r="X10" s="105"/>
      <c r="Y10" s="187"/>
    </row>
    <row r="11" spans="1:25" s="19" customFormat="1" ht="10.5" customHeight="1">
      <c r="A11" s="238"/>
      <c r="B11" s="293" t="s">
        <v>12</v>
      </c>
      <c r="C11" s="287"/>
      <c r="D11" s="288"/>
      <c r="E11" s="289"/>
      <c r="F11" s="493"/>
      <c r="G11" s="375"/>
      <c r="H11" s="614" t="s">
        <v>60</v>
      </c>
      <c r="I11" s="614"/>
      <c r="J11" s="418"/>
      <c r="K11" s="615" t="s">
        <v>88</v>
      </c>
      <c r="L11" s="613"/>
      <c r="M11" s="124"/>
      <c r="N11" s="625" t="s">
        <v>102</v>
      </c>
      <c r="O11" s="613"/>
      <c r="P11" s="646" t="str">
        <f>F12</f>
        <v> R/S</v>
      </c>
      <c r="Q11" s="625" t="s">
        <v>89</v>
      </c>
      <c r="R11" s="613"/>
      <c r="S11" s="280"/>
      <c r="T11" s="617" t="s">
        <v>60</v>
      </c>
      <c r="U11" s="618"/>
      <c r="V11" s="618"/>
      <c r="W11" s="618"/>
      <c r="X11" s="642"/>
      <c r="Y11" s="643" t="s">
        <v>59</v>
      </c>
    </row>
    <row r="12" spans="1:25" s="19" customFormat="1" ht="21.75" customHeight="1">
      <c r="A12" s="207" t="s">
        <v>50</v>
      </c>
      <c r="B12" s="30" t="s">
        <v>2</v>
      </c>
      <c r="C12" s="31" t="s">
        <v>22</v>
      </c>
      <c r="D12" s="31" t="s">
        <v>115</v>
      </c>
      <c r="E12" s="32" t="s">
        <v>35</v>
      </c>
      <c r="F12" s="32" t="s">
        <v>141</v>
      </c>
      <c r="G12" s="363" t="s">
        <v>0</v>
      </c>
      <c r="H12" s="33" t="s">
        <v>1</v>
      </c>
      <c r="I12" s="43" t="s">
        <v>82</v>
      </c>
      <c r="J12" s="388" t="s">
        <v>84</v>
      </c>
      <c r="K12" s="422" t="s">
        <v>95</v>
      </c>
      <c r="L12" s="106" t="s">
        <v>96</v>
      </c>
      <c r="M12" s="125"/>
      <c r="N12" s="444" t="s">
        <v>97</v>
      </c>
      <c r="O12" s="106" t="s">
        <v>98</v>
      </c>
      <c r="P12" s="647"/>
      <c r="Q12" s="364" t="s">
        <v>95</v>
      </c>
      <c r="R12" s="106" t="s">
        <v>96</v>
      </c>
      <c r="S12" s="281"/>
      <c r="T12" s="286" t="s">
        <v>35</v>
      </c>
      <c r="U12" s="381" t="s">
        <v>0</v>
      </c>
      <c r="V12" s="107" t="s">
        <v>1</v>
      </c>
      <c r="W12" s="109" t="s">
        <v>82</v>
      </c>
      <c r="X12" s="109" t="s">
        <v>28</v>
      </c>
      <c r="Y12" s="644"/>
    </row>
    <row r="13" spans="1:25" s="19" customFormat="1" ht="13.5" customHeight="1">
      <c r="A13" s="239"/>
      <c r="B13" s="248"/>
      <c r="C13" s="249"/>
      <c r="D13" s="249"/>
      <c r="E13" s="439">
        <f aca="true" t="shared" si="0" ref="E13:E25">IF(F13&lt;&gt;"",19,0)</f>
        <v>0</v>
      </c>
      <c r="F13" s="64"/>
      <c r="G13" s="376"/>
      <c r="H13" s="250">
        <f>IF(E13=0,0,E13*G13)</f>
        <v>0</v>
      </c>
      <c r="I13" s="256"/>
      <c r="J13" s="419">
        <f>IF(H13=0,0,H13-I13)</f>
        <v>0</v>
      </c>
      <c r="K13" s="436"/>
      <c r="L13" s="173">
        <f>IF(K13=0,0,K13*T13)</f>
        <v>0</v>
      </c>
      <c r="M13" s="214"/>
      <c r="N13" s="437">
        <f>G13</f>
        <v>0</v>
      </c>
      <c r="O13" s="173">
        <f>(T13*N13)-I13</f>
        <v>0</v>
      </c>
      <c r="P13" s="496">
        <f>IF(F13="","",F13)</f>
      </c>
      <c r="Q13" s="438"/>
      <c r="R13" s="215">
        <f>IF(Q13=0,0,T13*Q13)</f>
        <v>0</v>
      </c>
      <c r="S13" s="283"/>
      <c r="T13" s="437">
        <f>E13</f>
        <v>0</v>
      </c>
      <c r="U13" s="437">
        <f>N13</f>
        <v>0</v>
      </c>
      <c r="V13" s="215">
        <f>IF(T13=0,0,T13*U13)</f>
        <v>0</v>
      </c>
      <c r="W13" s="215">
        <f>I13</f>
        <v>0</v>
      </c>
      <c r="X13" s="215">
        <f>IF(V13=0,0,V13-W13)</f>
        <v>0</v>
      </c>
      <c r="Y13" s="445"/>
    </row>
    <row r="14" spans="1:25" s="19" customFormat="1" ht="13.5" customHeight="1">
      <c r="A14" s="239"/>
      <c r="B14" s="248"/>
      <c r="C14" s="249"/>
      <c r="D14" s="249"/>
      <c r="E14" s="439">
        <f t="shared" si="0"/>
        <v>0</v>
      </c>
      <c r="F14" s="64"/>
      <c r="G14" s="376"/>
      <c r="H14" s="250">
        <f>IF(E14=0,0,E14*G14)</f>
        <v>0</v>
      </c>
      <c r="I14" s="256"/>
      <c r="J14" s="419">
        <f>IF(H14=0,0,H14-I14)</f>
        <v>0</v>
      </c>
      <c r="K14" s="436"/>
      <c r="L14" s="173">
        <f>IF(K14=0,0,K14*T14)</f>
        <v>0</v>
      </c>
      <c r="M14" s="214"/>
      <c r="N14" s="437">
        <f>G14</f>
        <v>0</v>
      </c>
      <c r="O14" s="173">
        <f aca="true" t="shared" si="1" ref="O14:O25">(T14*N14)-I14</f>
        <v>0</v>
      </c>
      <c r="P14" s="496">
        <f>IF(F14="","",F14)</f>
      </c>
      <c r="Q14" s="438"/>
      <c r="R14" s="215">
        <f>IF(Q14=0,0,T14*Q14)</f>
        <v>0</v>
      </c>
      <c r="S14" s="283"/>
      <c r="T14" s="437">
        <f>E14</f>
        <v>0</v>
      </c>
      <c r="U14" s="437">
        <f>N14</f>
        <v>0</v>
      </c>
      <c r="V14" s="215">
        <f>IF(T14=0,0,T14*U14)</f>
        <v>0</v>
      </c>
      <c r="W14" s="215">
        <f>I14</f>
        <v>0</v>
      </c>
      <c r="X14" s="215">
        <f>IF(V14=0,0,V14-W14)</f>
        <v>0</v>
      </c>
      <c r="Y14" s="445"/>
    </row>
    <row r="15" spans="1:25" s="19" customFormat="1" ht="13.5" customHeight="1">
      <c r="A15" s="239"/>
      <c r="B15" s="248"/>
      <c r="C15" s="249"/>
      <c r="D15" s="249"/>
      <c r="E15" s="439">
        <f t="shared" si="0"/>
        <v>0</v>
      </c>
      <c r="F15" s="64"/>
      <c r="G15" s="376"/>
      <c r="H15" s="250">
        <f>IF(E15=0,0,E15*G15)</f>
        <v>0</v>
      </c>
      <c r="I15" s="256"/>
      <c r="J15" s="419">
        <f>IF(H15=0,0,H15-I15)</f>
        <v>0</v>
      </c>
      <c r="K15" s="436"/>
      <c r="L15" s="173">
        <f>IF(K15=0,0,K15*T15)</f>
        <v>0</v>
      </c>
      <c r="M15" s="214"/>
      <c r="N15" s="437">
        <f>G15</f>
        <v>0</v>
      </c>
      <c r="O15" s="173">
        <f t="shared" si="1"/>
        <v>0</v>
      </c>
      <c r="P15" s="496">
        <f>IF(F15="","",F15)</f>
      </c>
      <c r="Q15" s="438"/>
      <c r="R15" s="215">
        <f>IF(Q15=0,0,T15*Q15)</f>
        <v>0</v>
      </c>
      <c r="S15" s="283"/>
      <c r="T15" s="437">
        <f>E15</f>
        <v>0</v>
      </c>
      <c r="U15" s="437">
        <f>N15</f>
        <v>0</v>
      </c>
      <c r="V15" s="215">
        <f>IF(T15=0,0,T15*U15)</f>
        <v>0</v>
      </c>
      <c r="W15" s="215">
        <f>I15</f>
        <v>0</v>
      </c>
      <c r="X15" s="215">
        <f>IF(V15=0,0,V15-W15)</f>
        <v>0</v>
      </c>
      <c r="Y15" s="445"/>
    </row>
    <row r="16" spans="1:25" s="19" customFormat="1" ht="13.5" customHeight="1">
      <c r="A16" s="239"/>
      <c r="B16" s="248"/>
      <c r="C16" s="249"/>
      <c r="D16" s="249"/>
      <c r="E16" s="439">
        <f t="shared" si="0"/>
        <v>0</v>
      </c>
      <c r="F16" s="64"/>
      <c r="G16" s="376"/>
      <c r="H16" s="250">
        <f aca="true" t="shared" si="2" ref="H16:H21">IF(E16=0,0,E16*G16)</f>
        <v>0</v>
      </c>
      <c r="I16" s="256"/>
      <c r="J16" s="419">
        <f aca="true" t="shared" si="3" ref="J16:J21">IF(H16=0,0,H16-I16)</f>
        <v>0</v>
      </c>
      <c r="K16" s="436"/>
      <c r="L16" s="173">
        <f aca="true" t="shared" si="4" ref="L16:L21">IF(K16=0,0,K16*T16)</f>
        <v>0</v>
      </c>
      <c r="M16" s="214"/>
      <c r="N16" s="437">
        <f aca="true" t="shared" si="5" ref="N16:N21">G16</f>
        <v>0</v>
      </c>
      <c r="O16" s="173">
        <f t="shared" si="1"/>
        <v>0</v>
      </c>
      <c r="P16" s="496">
        <f aca="true" t="shared" si="6" ref="P16:P21">IF(F16="","",F16)</f>
      </c>
      <c r="Q16" s="438"/>
      <c r="R16" s="215">
        <f aca="true" t="shared" si="7" ref="R16:R21">IF(Q16=0,0,T16*Q16)</f>
        <v>0</v>
      </c>
      <c r="S16" s="283"/>
      <c r="T16" s="437">
        <f aca="true" t="shared" si="8" ref="T16:T21">E16</f>
        <v>0</v>
      </c>
      <c r="U16" s="437">
        <f aca="true" t="shared" si="9" ref="U16:U21">N16</f>
        <v>0</v>
      </c>
      <c r="V16" s="215">
        <f aca="true" t="shared" si="10" ref="V16:V21">IF(T16=0,0,T16*U16)</f>
        <v>0</v>
      </c>
      <c r="W16" s="215">
        <f aca="true" t="shared" si="11" ref="W16:W21">I16</f>
        <v>0</v>
      </c>
      <c r="X16" s="215">
        <f aca="true" t="shared" si="12" ref="X16:X21">IF(V16=0,0,V16-W16)</f>
        <v>0</v>
      </c>
      <c r="Y16" s="445"/>
    </row>
    <row r="17" spans="1:25" s="19" customFormat="1" ht="13.5" customHeight="1">
      <c r="A17" s="239"/>
      <c r="B17" s="248"/>
      <c r="C17" s="249"/>
      <c r="D17" s="249"/>
      <c r="E17" s="439">
        <f t="shared" si="0"/>
        <v>0</v>
      </c>
      <c r="F17" s="64"/>
      <c r="G17" s="376"/>
      <c r="H17" s="250">
        <f t="shared" si="2"/>
        <v>0</v>
      </c>
      <c r="I17" s="256"/>
      <c r="J17" s="419">
        <f t="shared" si="3"/>
        <v>0</v>
      </c>
      <c r="K17" s="436"/>
      <c r="L17" s="173">
        <f t="shared" si="4"/>
        <v>0</v>
      </c>
      <c r="M17" s="214"/>
      <c r="N17" s="437">
        <f t="shared" si="5"/>
        <v>0</v>
      </c>
      <c r="O17" s="173">
        <f t="shared" si="1"/>
        <v>0</v>
      </c>
      <c r="P17" s="496">
        <f t="shared" si="6"/>
      </c>
      <c r="Q17" s="438"/>
      <c r="R17" s="215">
        <f t="shared" si="7"/>
        <v>0</v>
      </c>
      <c r="S17" s="283"/>
      <c r="T17" s="437">
        <f t="shared" si="8"/>
        <v>0</v>
      </c>
      <c r="U17" s="437">
        <f t="shared" si="9"/>
        <v>0</v>
      </c>
      <c r="V17" s="215">
        <f t="shared" si="10"/>
        <v>0</v>
      </c>
      <c r="W17" s="215">
        <f t="shared" si="11"/>
        <v>0</v>
      </c>
      <c r="X17" s="215">
        <f t="shared" si="12"/>
        <v>0</v>
      </c>
      <c r="Y17" s="445"/>
    </row>
    <row r="18" spans="1:25" s="19" customFormat="1" ht="13.5" customHeight="1">
      <c r="A18" s="239"/>
      <c r="B18" s="248"/>
      <c r="C18" s="249"/>
      <c r="D18" s="249"/>
      <c r="E18" s="439">
        <f t="shared" si="0"/>
        <v>0</v>
      </c>
      <c r="F18" s="64"/>
      <c r="G18" s="376"/>
      <c r="H18" s="250">
        <f t="shared" si="2"/>
        <v>0</v>
      </c>
      <c r="I18" s="256"/>
      <c r="J18" s="419">
        <f t="shared" si="3"/>
        <v>0</v>
      </c>
      <c r="K18" s="436"/>
      <c r="L18" s="173">
        <f t="shared" si="4"/>
        <v>0</v>
      </c>
      <c r="M18" s="214"/>
      <c r="N18" s="437">
        <f t="shared" si="5"/>
        <v>0</v>
      </c>
      <c r="O18" s="173">
        <f t="shared" si="1"/>
        <v>0</v>
      </c>
      <c r="P18" s="496">
        <f t="shared" si="6"/>
      </c>
      <c r="Q18" s="438"/>
      <c r="R18" s="215">
        <f t="shared" si="7"/>
        <v>0</v>
      </c>
      <c r="S18" s="283"/>
      <c r="T18" s="437">
        <f t="shared" si="8"/>
        <v>0</v>
      </c>
      <c r="U18" s="437">
        <f t="shared" si="9"/>
        <v>0</v>
      </c>
      <c r="V18" s="215">
        <f t="shared" si="10"/>
        <v>0</v>
      </c>
      <c r="W18" s="215">
        <f t="shared" si="11"/>
        <v>0</v>
      </c>
      <c r="X18" s="215">
        <f t="shared" si="12"/>
        <v>0</v>
      </c>
      <c r="Y18" s="445"/>
    </row>
    <row r="19" spans="1:25" s="19" customFormat="1" ht="13.5" customHeight="1">
      <c r="A19" s="239"/>
      <c r="B19" s="248"/>
      <c r="C19" s="249"/>
      <c r="D19" s="249"/>
      <c r="E19" s="439">
        <f t="shared" si="0"/>
        <v>0</v>
      </c>
      <c r="F19" s="64"/>
      <c r="G19" s="376"/>
      <c r="H19" s="250">
        <f t="shared" si="2"/>
        <v>0</v>
      </c>
      <c r="I19" s="256"/>
      <c r="J19" s="419">
        <f t="shared" si="3"/>
        <v>0</v>
      </c>
      <c r="K19" s="436"/>
      <c r="L19" s="173">
        <f t="shared" si="4"/>
        <v>0</v>
      </c>
      <c r="M19" s="214"/>
      <c r="N19" s="437">
        <f t="shared" si="5"/>
        <v>0</v>
      </c>
      <c r="O19" s="173">
        <f t="shared" si="1"/>
        <v>0</v>
      </c>
      <c r="P19" s="496">
        <f t="shared" si="6"/>
      </c>
      <c r="Q19" s="438"/>
      <c r="R19" s="215">
        <f t="shared" si="7"/>
        <v>0</v>
      </c>
      <c r="S19" s="283"/>
      <c r="T19" s="437">
        <f t="shared" si="8"/>
        <v>0</v>
      </c>
      <c r="U19" s="437">
        <f t="shared" si="9"/>
        <v>0</v>
      </c>
      <c r="V19" s="215">
        <f t="shared" si="10"/>
        <v>0</v>
      </c>
      <c r="W19" s="215">
        <f t="shared" si="11"/>
        <v>0</v>
      </c>
      <c r="X19" s="215">
        <f t="shared" si="12"/>
        <v>0</v>
      </c>
      <c r="Y19" s="445"/>
    </row>
    <row r="20" spans="1:25" s="19" customFormat="1" ht="13.5" customHeight="1">
      <c r="A20" s="239"/>
      <c r="B20" s="248"/>
      <c r="C20" s="249"/>
      <c r="D20" s="249"/>
      <c r="E20" s="439">
        <f t="shared" si="0"/>
        <v>0</v>
      </c>
      <c r="F20" s="64"/>
      <c r="G20" s="376"/>
      <c r="H20" s="250">
        <f t="shared" si="2"/>
        <v>0</v>
      </c>
      <c r="I20" s="256"/>
      <c r="J20" s="419">
        <f t="shared" si="3"/>
        <v>0</v>
      </c>
      <c r="K20" s="436"/>
      <c r="L20" s="173">
        <f t="shared" si="4"/>
        <v>0</v>
      </c>
      <c r="M20" s="214"/>
      <c r="N20" s="437">
        <f t="shared" si="5"/>
        <v>0</v>
      </c>
      <c r="O20" s="173">
        <f t="shared" si="1"/>
        <v>0</v>
      </c>
      <c r="P20" s="496">
        <f t="shared" si="6"/>
      </c>
      <c r="Q20" s="438"/>
      <c r="R20" s="215">
        <f t="shared" si="7"/>
        <v>0</v>
      </c>
      <c r="S20" s="283"/>
      <c r="T20" s="437">
        <f t="shared" si="8"/>
        <v>0</v>
      </c>
      <c r="U20" s="437">
        <f t="shared" si="9"/>
        <v>0</v>
      </c>
      <c r="V20" s="215">
        <f t="shared" si="10"/>
        <v>0</v>
      </c>
      <c r="W20" s="215">
        <f t="shared" si="11"/>
        <v>0</v>
      </c>
      <c r="X20" s="215">
        <f t="shared" si="12"/>
        <v>0</v>
      </c>
      <c r="Y20" s="445"/>
    </row>
    <row r="21" spans="1:25" s="19" customFormat="1" ht="13.5" customHeight="1">
      <c r="A21" s="239"/>
      <c r="B21" s="248"/>
      <c r="C21" s="249"/>
      <c r="D21" s="249"/>
      <c r="E21" s="439">
        <f t="shared" si="0"/>
        <v>0</v>
      </c>
      <c r="F21" s="64"/>
      <c r="G21" s="376"/>
      <c r="H21" s="250">
        <f t="shared" si="2"/>
        <v>0</v>
      </c>
      <c r="I21" s="256"/>
      <c r="J21" s="419">
        <f t="shared" si="3"/>
        <v>0</v>
      </c>
      <c r="K21" s="436"/>
      <c r="L21" s="173">
        <f t="shared" si="4"/>
        <v>0</v>
      </c>
      <c r="M21" s="214"/>
      <c r="N21" s="437">
        <f t="shared" si="5"/>
        <v>0</v>
      </c>
      <c r="O21" s="173">
        <f t="shared" si="1"/>
        <v>0</v>
      </c>
      <c r="P21" s="496">
        <f t="shared" si="6"/>
      </c>
      <c r="Q21" s="438"/>
      <c r="R21" s="215">
        <f t="shared" si="7"/>
        <v>0</v>
      </c>
      <c r="S21" s="283"/>
      <c r="T21" s="437">
        <f t="shared" si="8"/>
        <v>0</v>
      </c>
      <c r="U21" s="437">
        <f t="shared" si="9"/>
        <v>0</v>
      </c>
      <c r="V21" s="215">
        <f t="shared" si="10"/>
        <v>0</v>
      </c>
      <c r="W21" s="215">
        <f t="shared" si="11"/>
        <v>0</v>
      </c>
      <c r="X21" s="215">
        <f t="shared" si="12"/>
        <v>0</v>
      </c>
      <c r="Y21" s="445"/>
    </row>
    <row r="22" spans="1:25" s="19" customFormat="1" ht="13.5" customHeight="1">
      <c r="A22" s="239"/>
      <c r="B22" s="248"/>
      <c r="C22" s="249"/>
      <c r="D22" s="249"/>
      <c r="E22" s="439">
        <f t="shared" si="0"/>
        <v>0</v>
      </c>
      <c r="F22" s="64"/>
      <c r="G22" s="376"/>
      <c r="H22" s="250">
        <f>IF(E22=0,0,E22*G22)</f>
        <v>0</v>
      </c>
      <c r="I22" s="256"/>
      <c r="J22" s="419">
        <f>IF(H22=0,0,H22-I22)</f>
        <v>0</v>
      </c>
      <c r="K22" s="436"/>
      <c r="L22" s="173">
        <f>IF(K22=0,0,K22*T22)</f>
        <v>0</v>
      </c>
      <c r="M22" s="214"/>
      <c r="N22" s="437">
        <f>G22</f>
        <v>0</v>
      </c>
      <c r="O22" s="173">
        <f t="shared" si="1"/>
        <v>0</v>
      </c>
      <c r="P22" s="496">
        <f>IF(F22="","",F22)</f>
      </c>
      <c r="Q22" s="438"/>
      <c r="R22" s="215">
        <f>IF(Q22=0,0,T22*Q22)</f>
        <v>0</v>
      </c>
      <c r="S22" s="283"/>
      <c r="T22" s="437">
        <f>E22</f>
        <v>0</v>
      </c>
      <c r="U22" s="437">
        <f>N22</f>
        <v>0</v>
      </c>
      <c r="V22" s="215">
        <f>IF(T22=0,0,T22*U22)</f>
        <v>0</v>
      </c>
      <c r="W22" s="215">
        <f>I22</f>
        <v>0</v>
      </c>
      <c r="X22" s="215">
        <f>IF(V22=0,0,V22-W22)</f>
        <v>0</v>
      </c>
      <c r="Y22" s="445"/>
    </row>
    <row r="23" spans="1:25" s="19" customFormat="1" ht="13.5" customHeight="1">
      <c r="A23" s="239"/>
      <c r="B23" s="248"/>
      <c r="C23" s="249"/>
      <c r="D23" s="249"/>
      <c r="E23" s="439">
        <f t="shared" si="0"/>
        <v>0</v>
      </c>
      <c r="F23" s="64"/>
      <c r="G23" s="376"/>
      <c r="H23" s="250">
        <f>IF(E23=0,0,E23*G23)</f>
        <v>0</v>
      </c>
      <c r="I23" s="256"/>
      <c r="J23" s="419">
        <f>IF(H23=0,0,H23-I23)</f>
        <v>0</v>
      </c>
      <c r="K23" s="436"/>
      <c r="L23" s="173">
        <f>IF(K23=0,0,K23*T23)</f>
        <v>0</v>
      </c>
      <c r="M23" s="214"/>
      <c r="N23" s="437">
        <f>G23</f>
        <v>0</v>
      </c>
      <c r="O23" s="173">
        <f t="shared" si="1"/>
        <v>0</v>
      </c>
      <c r="P23" s="496">
        <f>IF(F23="","",F23)</f>
      </c>
      <c r="Q23" s="438"/>
      <c r="R23" s="215">
        <f>IF(Q23=0,0,T23*Q23)</f>
        <v>0</v>
      </c>
      <c r="S23" s="283"/>
      <c r="T23" s="437">
        <f>E23</f>
        <v>0</v>
      </c>
      <c r="U23" s="437">
        <f>N23</f>
        <v>0</v>
      </c>
      <c r="V23" s="215">
        <f>IF(T23=0,0,T23*U23)</f>
        <v>0</v>
      </c>
      <c r="W23" s="215">
        <f>I23</f>
        <v>0</v>
      </c>
      <c r="X23" s="215">
        <f>IF(V23=0,0,V23-W23)</f>
        <v>0</v>
      </c>
      <c r="Y23" s="445"/>
    </row>
    <row r="24" spans="1:25" s="19" customFormat="1" ht="13.5" customHeight="1">
      <c r="A24" s="239"/>
      <c r="B24" s="248"/>
      <c r="C24" s="249"/>
      <c r="D24" s="249"/>
      <c r="E24" s="439">
        <f t="shared" si="0"/>
        <v>0</v>
      </c>
      <c r="F24" s="64"/>
      <c r="G24" s="376"/>
      <c r="H24" s="250">
        <f>IF(E24=0,0,E24*G24)</f>
        <v>0</v>
      </c>
      <c r="I24" s="256"/>
      <c r="J24" s="419">
        <f>IF(H24=0,0,H24-I24)</f>
        <v>0</v>
      </c>
      <c r="K24" s="436"/>
      <c r="L24" s="173">
        <f>IF(K24=0,0,K24*T24)</f>
        <v>0</v>
      </c>
      <c r="M24" s="214"/>
      <c r="N24" s="437">
        <f>G24</f>
        <v>0</v>
      </c>
      <c r="O24" s="173">
        <f t="shared" si="1"/>
        <v>0</v>
      </c>
      <c r="P24" s="496">
        <f>IF(F24="","",F24)</f>
      </c>
      <c r="Q24" s="438"/>
      <c r="R24" s="215">
        <f>IF(Q24=0,0,T24*Q24)</f>
        <v>0</v>
      </c>
      <c r="S24" s="283"/>
      <c r="T24" s="437">
        <f>E24</f>
        <v>0</v>
      </c>
      <c r="U24" s="437">
        <f>N24</f>
        <v>0</v>
      </c>
      <c r="V24" s="215">
        <f>IF(T24=0,0,T24*U24)</f>
        <v>0</v>
      </c>
      <c r="W24" s="215">
        <f>I24</f>
        <v>0</v>
      </c>
      <c r="X24" s="215">
        <f>IF(V24=0,0,V24-W24)</f>
        <v>0</v>
      </c>
      <c r="Y24" s="445"/>
    </row>
    <row r="25" spans="1:25" s="19" customFormat="1" ht="13.5" customHeight="1">
      <c r="A25" s="239"/>
      <c r="B25" s="248"/>
      <c r="C25" s="249"/>
      <c r="D25" s="249"/>
      <c r="E25" s="439">
        <f t="shared" si="0"/>
        <v>0</v>
      </c>
      <c r="F25" s="64"/>
      <c r="G25" s="376"/>
      <c r="H25" s="250">
        <f>IF(E25=0,0,E25*G25)</f>
        <v>0</v>
      </c>
      <c r="I25" s="256"/>
      <c r="J25" s="419">
        <f>IF(H25=0,0,H25-I25)</f>
        <v>0</v>
      </c>
      <c r="K25" s="436"/>
      <c r="L25" s="173">
        <f>IF(K25=0,0,K25*T25)</f>
        <v>0</v>
      </c>
      <c r="M25" s="214"/>
      <c r="N25" s="437">
        <f>G25</f>
        <v>0</v>
      </c>
      <c r="O25" s="173">
        <f t="shared" si="1"/>
        <v>0</v>
      </c>
      <c r="P25" s="496">
        <f>IF(F25="","",F25)</f>
      </c>
      <c r="Q25" s="438"/>
      <c r="R25" s="215">
        <f>IF(Q25=0,0,T25*Q25)</f>
        <v>0</v>
      </c>
      <c r="S25" s="283"/>
      <c r="T25" s="437">
        <f>E25</f>
        <v>0</v>
      </c>
      <c r="U25" s="437">
        <f>N25</f>
        <v>0</v>
      </c>
      <c r="V25" s="215">
        <f>IF(T25=0,0,T25*U25)</f>
        <v>0</v>
      </c>
      <c r="W25" s="215">
        <f>I25</f>
        <v>0</v>
      </c>
      <c r="X25" s="215">
        <f>IF(V25=0,0,V25-W25)</f>
        <v>0</v>
      </c>
      <c r="Y25" s="445"/>
    </row>
    <row r="26" spans="1:25" s="56" customFormat="1" ht="5.25" customHeight="1">
      <c r="A26" s="207" t="s">
        <v>18</v>
      </c>
      <c r="B26" s="45"/>
      <c r="C26" s="171"/>
      <c r="D26" s="171"/>
      <c r="E26" s="251"/>
      <c r="F26" s="251"/>
      <c r="G26" s="378"/>
      <c r="H26" s="217"/>
      <c r="I26" s="217"/>
      <c r="J26" s="217">
        <f>IF(G26&lt;&gt;"",G26*H26,"")</f>
      </c>
      <c r="K26" s="424"/>
      <c r="L26" s="211"/>
      <c r="M26" s="214"/>
      <c r="N26" s="368"/>
      <c r="O26" s="211"/>
      <c r="P26" s="211"/>
      <c r="Q26" s="378">
        <f>IF(M26="","",M26)</f>
      </c>
      <c r="R26" s="217">
        <f>IF(AND(T26&lt;&gt;"",U26&lt;&gt;""),T26*U26,"")</f>
      </c>
      <c r="S26" s="217"/>
      <c r="T26" s="216"/>
      <c r="U26" s="378">
        <f>IF(G26="","",G26)</f>
      </c>
      <c r="V26" s="217"/>
      <c r="W26" s="217"/>
      <c r="X26" s="217"/>
      <c r="Y26" s="197"/>
    </row>
    <row r="27" spans="1:25" s="19" customFormat="1" ht="12" customHeight="1">
      <c r="A27" s="239"/>
      <c r="C27" s="34" t="s">
        <v>13</v>
      </c>
      <c r="D27" s="178" t="s">
        <v>24</v>
      </c>
      <c r="E27" s="443"/>
      <c r="F27" s="443"/>
      <c r="G27" s="376">
        <f aca="true" t="shared" si="13" ref="G27:L27">SUM(G13:G25)</f>
        <v>0</v>
      </c>
      <c r="H27" s="432">
        <f t="shared" si="13"/>
        <v>0</v>
      </c>
      <c r="I27" s="432">
        <f t="shared" si="13"/>
        <v>0</v>
      </c>
      <c r="J27" s="433">
        <f t="shared" si="13"/>
        <v>0</v>
      </c>
      <c r="K27" s="423">
        <f t="shared" si="13"/>
        <v>0</v>
      </c>
      <c r="L27" s="153">
        <f t="shared" si="13"/>
        <v>0</v>
      </c>
      <c r="M27" s="214"/>
      <c r="N27" s="367">
        <f>SUM(N13:N25)</f>
        <v>0</v>
      </c>
      <c r="O27" s="153">
        <f>SUM(O13:O25)</f>
        <v>0</v>
      </c>
      <c r="P27" s="498"/>
      <c r="Q27" s="367">
        <f>SUM(Q13:Q25)</f>
        <v>0</v>
      </c>
      <c r="R27" s="434">
        <f>SUM(R13:R25)</f>
        <v>0</v>
      </c>
      <c r="S27" s="290"/>
      <c r="T27" s="218"/>
      <c r="U27" s="367">
        <f>SUM(U13:U25)</f>
        <v>0</v>
      </c>
      <c r="V27" s="435">
        <f>SUM(V13:V25)</f>
        <v>0</v>
      </c>
      <c r="W27" s="435">
        <f>SUM(W13:W25)</f>
        <v>0</v>
      </c>
      <c r="X27" s="435">
        <f>SUM(X13:X25)</f>
        <v>0</v>
      </c>
      <c r="Y27" s="445"/>
    </row>
    <row r="28" spans="1:25" s="19" customFormat="1" ht="6" customHeight="1">
      <c r="A28" s="193"/>
      <c r="C28" s="27"/>
      <c r="D28" s="27"/>
      <c r="E28" s="226"/>
      <c r="F28" s="226"/>
      <c r="G28" s="379"/>
      <c r="H28" s="252"/>
      <c r="I28" s="252"/>
      <c r="J28" s="252"/>
      <c r="K28" s="420"/>
      <c r="L28" s="209"/>
      <c r="M28" s="219"/>
      <c r="N28" s="365"/>
      <c r="O28" s="209"/>
      <c r="P28" s="212"/>
      <c r="Q28" s="384"/>
      <c r="R28" s="170"/>
      <c r="S28" s="284"/>
      <c r="T28" s="291"/>
      <c r="U28" s="384"/>
      <c r="V28" s="170"/>
      <c r="W28" s="170"/>
      <c r="X28" s="170"/>
      <c r="Y28" s="446"/>
    </row>
    <row r="29" spans="1:25" s="19" customFormat="1" ht="12.75" customHeight="1">
      <c r="A29" s="193"/>
      <c r="C29" s="497" t="str">
        <f>"TOTALE "&amp;IF(riepilogo!scelta="I","PROCESSI","RICERCA")</f>
        <v>TOTALE RICERCA</v>
      </c>
      <c r="D29" s="616" t="s">
        <v>150</v>
      </c>
      <c r="E29" s="616"/>
      <c r="F29" s="472"/>
      <c r="G29" s="376">
        <f>IF(riepilogo!scelta="I",SUMIF($F7:$F25,"P",G7:G25),SUMIF($F7:$F25,"R",G7:G25))</f>
        <v>0</v>
      </c>
      <c r="H29" s="432">
        <f>IF(riepilogo!scelta="I",SUMIF($F7:$F25,"P",H7:H25),SUMIF($F7:$F25,"R",H7:H25))</f>
        <v>0</v>
      </c>
      <c r="I29" s="432">
        <f>IF(riepilogo!scelta="I",SUMIF($F7:$F25,"P",I7:I25),SUMIF($F7:$F25,"R",I7:I25))</f>
        <v>0</v>
      </c>
      <c r="J29" s="433">
        <f>IF(riepilogo!scelta="I",SUMIF($F7:$F25,"P",J7:J25),SUMIF($F7:$F25,"R",J7:J25))</f>
        <v>0</v>
      </c>
      <c r="K29" s="423">
        <f>IF(riepilogo!scelta="I",SUMIF($P7:$P25,"P",K7:K25),SUMIF($P7:$P25,"R",K7:K25))</f>
        <v>0</v>
      </c>
      <c r="L29" s="153">
        <f>IF(riepilogo!scelta="I",SUMIF($P7:$P25,"P",L7:L25),SUMIF($P7:$P25,"R",L7:L25))</f>
        <v>0</v>
      </c>
      <c r="M29" s="214"/>
      <c r="N29" s="367">
        <f>IF(riepilogo!scelta="I",SUMIF($P7:$P25,"P",N7:N25),SUMIF($P7:$P25,"R",N7:N25))</f>
        <v>0</v>
      </c>
      <c r="O29" s="153">
        <f>IF(riepilogo!scelta="I",SUMIF($P7:$P25,"P",O7:O25),SUMIF($P7:$P25,"R",O7:O25))</f>
        <v>0</v>
      </c>
      <c r="P29" s="498"/>
      <c r="Q29" s="367">
        <f>IF(riepilogo!scelta="I",SUMIF($P7:$P25,"P",Q7:Q25),SUMIF($P7:$P25,"R",Q7:Q25))</f>
        <v>0</v>
      </c>
      <c r="R29" s="434">
        <f>IF(riepilogo!scelta="I",SUMIF($P7:$P25,"P",R7:R25),SUMIF($P7:$P25,"R",R7:R25))</f>
        <v>0</v>
      </c>
      <c r="S29" s="290"/>
      <c r="T29" s="218"/>
      <c r="U29" s="367">
        <f>IF(riepilogo!scelta="I",SUMIF($P7:$P25,"P",U7:U25),SUMIF($P7:$P25,"R",U7:U25))</f>
        <v>0</v>
      </c>
      <c r="V29" s="435">
        <f>IF(riepilogo!scelta="I",SUMIF($P7:$P25,"P",V7:V25),SUMIF($P7:$P25,"R",V7:V25))</f>
        <v>0</v>
      </c>
      <c r="W29" s="435">
        <f>IF(riepilogo!scelta="I",SUMIF($P7:$P25,"P",W7:W25),SUMIF($P7:$P25,"R",W7:W25))</f>
        <v>0</v>
      </c>
      <c r="X29" s="435">
        <f>IF(riepilogo!scelta="I",SUMIF($P7:$P25,"P",X7:X25),SUMIF($P7:$P25,"R",X7:X25))</f>
        <v>0</v>
      </c>
      <c r="Y29" s="445"/>
    </row>
    <row r="30" spans="1:25" s="19" customFormat="1" ht="12.75" customHeight="1">
      <c r="A30" s="193"/>
      <c r="C30" s="497" t="str">
        <f>"TOTALE "&amp;IF(riepilogo!scelta="I","ORGANIZZAZIONE","SVILUPPO")</f>
        <v>TOTALE SVILUPPO</v>
      </c>
      <c r="D30" s="616" t="s">
        <v>150</v>
      </c>
      <c r="E30" s="616"/>
      <c r="F30" s="472"/>
      <c r="G30" s="376">
        <f>IF(riepilogo!scelta="I",SUMIF($F7:$F25,"O",G7:G25),SUMIF($F7:$F25,"S",G7:G25))</f>
        <v>0</v>
      </c>
      <c r="H30" s="432">
        <f>IF(riepilogo!scelta="I",SUMIF($F7:$F25,"O",H7:H25),SUMIF($F7:$F25,"S",H7:H25))</f>
        <v>0</v>
      </c>
      <c r="I30" s="432">
        <f>IF(riepilogo!scelta="I",SUMIF($F7:$F25,"O",I7:I25),SUMIF($F7:$F25,"S",I7:I25))</f>
        <v>0</v>
      </c>
      <c r="J30" s="433">
        <f>IF(riepilogo!scelta="I",SUMIF($F7:$F25,"O",J7:J25),SUMIF($F7:$F25,"S",J7:J25))</f>
        <v>0</v>
      </c>
      <c r="K30" s="423">
        <f>IF(riepilogo!scelta="I",SUMIF($P7:$P25,"O",K7:K25),SUMIF($P7:$P25,"S",K7:K25))</f>
        <v>0</v>
      </c>
      <c r="L30" s="153">
        <f>IF(riepilogo!scelta="I",SUMIF($P7:$P25,"O",L7:L25),SUMIF($P7:$P25,"S",L7:L25))</f>
        <v>0</v>
      </c>
      <c r="M30" s="214"/>
      <c r="N30" s="367">
        <f>IF(riepilogo!scelta="I",SUMIF($P7:$P25,"O",N7:N25),SUMIF($P7:$P25,"S",N7:N25))</f>
        <v>0</v>
      </c>
      <c r="O30" s="153">
        <f>IF(riepilogo!scelta="I",SUMIF($P7:$P25,"O",O7:O25),SUMIF($P7:$P25,"S",O7:O25))</f>
        <v>0</v>
      </c>
      <c r="P30" s="498"/>
      <c r="Q30" s="367">
        <f>IF(riepilogo!scelta="I",SUMIF($P7:$P25,"O",Q7:Q25),SUMIF($P7:$P25,"S",Q7:Q25))</f>
        <v>0</v>
      </c>
      <c r="R30" s="434">
        <f>IF(riepilogo!scelta="I",SUMIF($P7:$P25,"O",R7:R25),SUMIF($P7:$P25,"S",R7:R25))</f>
        <v>0</v>
      </c>
      <c r="S30" s="290"/>
      <c r="T30" s="218"/>
      <c r="U30" s="367">
        <f>IF(riepilogo!scelta="I",SUMIF($P7:$P25,"O",U7:U25),SUMIF($P7:$P25,"S",U7:U25))</f>
        <v>0</v>
      </c>
      <c r="V30" s="435">
        <f>IF(riepilogo!scelta="I",SUMIF($P7:$P25,"O",V7:V25),SUMIF($P7:$P25,"S",V7:V25))</f>
        <v>0</v>
      </c>
      <c r="W30" s="435">
        <f>IF(riepilogo!scelta="I",SUMIF($P7:$P25,"O",W7:W25),SUMIF($P7:$P25,"S",W7:W25))</f>
        <v>0</v>
      </c>
      <c r="X30" s="435">
        <f>IF(riepilogo!scelta="I",SUMIF($P7:$P25,"O",X7:X25),SUMIF($P7:$P25,"S",X7:X25))</f>
        <v>0</v>
      </c>
      <c r="Y30" s="445"/>
    </row>
    <row r="31" spans="1:25" s="552" customFormat="1" ht="18" customHeight="1">
      <c r="A31" s="551"/>
      <c r="C31" s="553"/>
      <c r="D31" s="554"/>
      <c r="E31" s="554"/>
      <c r="F31" s="555"/>
      <c r="G31" s="602">
        <f aca="true" t="shared" si="14" ref="G31:L31">SUM(G29:G30)</f>
        <v>0</v>
      </c>
      <c r="H31" s="557">
        <f t="shared" si="14"/>
        <v>0</v>
      </c>
      <c r="I31" s="557">
        <f t="shared" si="14"/>
        <v>0</v>
      </c>
      <c r="J31" s="557">
        <f t="shared" si="14"/>
        <v>0</v>
      </c>
      <c r="K31" s="603">
        <f t="shared" si="14"/>
        <v>0</v>
      </c>
      <c r="L31" s="558">
        <f t="shared" si="14"/>
        <v>0</v>
      </c>
      <c r="M31" s="559"/>
      <c r="N31" s="556">
        <f>SUM(N29:N30)</f>
        <v>0</v>
      </c>
      <c r="O31" s="558">
        <f>SUM(O29:O30)</f>
        <v>0</v>
      </c>
      <c r="P31" s="558"/>
      <c r="Q31" s="556">
        <f>SUM(Q29:Q30)</f>
        <v>0</v>
      </c>
      <c r="R31" s="557">
        <f>SUM(R29:R30)</f>
        <v>0</v>
      </c>
      <c r="S31" s="560"/>
      <c r="T31" s="561"/>
      <c r="U31" s="556">
        <f>SUM(U29:U30)</f>
        <v>0</v>
      </c>
      <c r="V31" s="562">
        <f>SUM(V29:V30)</f>
        <v>0</v>
      </c>
      <c r="W31" s="562">
        <f>SUM(W29:W30)</f>
        <v>0</v>
      </c>
      <c r="X31" s="562">
        <f>SUM(X29:X30)</f>
        <v>0</v>
      </c>
      <c r="Y31" s="563"/>
    </row>
    <row r="32" spans="1:25" s="198" customFormat="1" ht="27" customHeight="1">
      <c r="A32" s="193"/>
      <c r="B32" s="645" t="s">
        <v>92</v>
      </c>
      <c r="C32" s="645"/>
      <c r="D32" s="645"/>
      <c r="E32" s="143"/>
      <c r="F32" s="143"/>
      <c r="G32" s="378"/>
      <c r="H32" s="217"/>
      <c r="I32" s="217"/>
      <c r="J32" s="34"/>
      <c r="K32" s="425"/>
      <c r="L32" s="224"/>
      <c r="M32" s="214"/>
      <c r="N32" s="369"/>
      <c r="O32" s="224"/>
      <c r="P32" s="224"/>
      <c r="Q32" s="369"/>
      <c r="R32" s="221"/>
      <c r="S32" s="221"/>
      <c r="T32" s="223"/>
      <c r="U32" s="369"/>
      <c r="V32" s="221"/>
      <c r="W32" s="221"/>
      <c r="X32" s="221"/>
      <c r="Y32" s="206"/>
    </row>
    <row r="33" spans="1:25" s="19" customFormat="1" ht="10.5" customHeight="1">
      <c r="A33" s="238"/>
      <c r="B33" s="293" t="s">
        <v>76</v>
      </c>
      <c r="C33" s="287"/>
      <c r="D33" s="288"/>
      <c r="E33" s="289"/>
      <c r="F33" s="493"/>
      <c r="G33" s="375"/>
      <c r="H33" s="614" t="s">
        <v>60</v>
      </c>
      <c r="I33" s="614"/>
      <c r="J33" s="418"/>
      <c r="K33" s="615" t="s">
        <v>88</v>
      </c>
      <c r="L33" s="613"/>
      <c r="M33" s="124"/>
      <c r="N33" s="625" t="s">
        <v>102</v>
      </c>
      <c r="O33" s="613"/>
      <c r="P33" s="646" t="str">
        <f>F34</f>
        <v> R/S</v>
      </c>
      <c r="Q33" s="625" t="s">
        <v>89</v>
      </c>
      <c r="R33" s="613"/>
      <c r="S33" s="280"/>
      <c r="T33" s="617" t="s">
        <v>60</v>
      </c>
      <c r="U33" s="618"/>
      <c r="V33" s="618"/>
      <c r="W33" s="618"/>
      <c r="X33" s="642"/>
      <c r="Y33" s="643" t="s">
        <v>59</v>
      </c>
    </row>
    <row r="34" spans="1:25" s="19" customFormat="1" ht="21.75" customHeight="1">
      <c r="A34" s="207" t="s">
        <v>47</v>
      </c>
      <c r="B34" s="30" t="s">
        <v>2</v>
      </c>
      <c r="C34" s="31" t="s">
        <v>22</v>
      </c>
      <c r="D34" s="31" t="s">
        <v>115</v>
      </c>
      <c r="E34" s="32" t="s">
        <v>35</v>
      </c>
      <c r="F34" s="32" t="s">
        <v>141</v>
      </c>
      <c r="G34" s="363" t="s">
        <v>0</v>
      </c>
      <c r="H34" s="33" t="s">
        <v>1</v>
      </c>
      <c r="I34" s="43" t="s">
        <v>82</v>
      </c>
      <c r="J34" s="388" t="s">
        <v>84</v>
      </c>
      <c r="K34" s="422" t="s">
        <v>95</v>
      </c>
      <c r="L34" s="106" t="s">
        <v>96</v>
      </c>
      <c r="M34" s="125"/>
      <c r="N34" s="444" t="s">
        <v>97</v>
      </c>
      <c r="O34" s="106" t="s">
        <v>98</v>
      </c>
      <c r="P34" s="647"/>
      <c r="Q34" s="364" t="s">
        <v>95</v>
      </c>
      <c r="R34" s="106" t="s">
        <v>96</v>
      </c>
      <c r="S34" s="281"/>
      <c r="T34" s="286" t="s">
        <v>35</v>
      </c>
      <c r="U34" s="381" t="s">
        <v>0</v>
      </c>
      <c r="V34" s="107" t="s">
        <v>1</v>
      </c>
      <c r="W34" s="109" t="s">
        <v>82</v>
      </c>
      <c r="X34" s="109" t="s">
        <v>28</v>
      </c>
      <c r="Y34" s="644"/>
    </row>
    <row r="35" spans="1:25" s="19" customFormat="1" ht="13.5" customHeight="1">
      <c r="A35" s="239"/>
      <c r="B35" s="248"/>
      <c r="C35" s="249"/>
      <c r="D35" s="249"/>
      <c r="E35" s="439">
        <f aca="true" t="shared" si="15" ref="E35:E41">IF(F35&lt;&gt;"",15,0)</f>
        <v>0</v>
      </c>
      <c r="F35" s="64"/>
      <c r="G35" s="376"/>
      <c r="H35" s="250">
        <f aca="true" t="shared" si="16" ref="H35:H41">IF(E35=0,0,E35*G35)</f>
        <v>0</v>
      </c>
      <c r="I35" s="256"/>
      <c r="J35" s="419">
        <f aca="true" t="shared" si="17" ref="J35:J41">IF(H35=0,0,H35-I35)</f>
        <v>0</v>
      </c>
      <c r="K35" s="436"/>
      <c r="L35" s="173">
        <f aca="true" t="shared" si="18" ref="L35:L41">IF(K35=0,0,K35*T35)</f>
        <v>0</v>
      </c>
      <c r="M35" s="214"/>
      <c r="N35" s="437">
        <f aca="true" t="shared" si="19" ref="N35:N41">G35</f>
        <v>0</v>
      </c>
      <c r="O35" s="173">
        <f>(T35*N35)-I35</f>
        <v>0</v>
      </c>
      <c r="P35" s="496">
        <f aca="true" t="shared" si="20" ref="P35:P41">IF(F35="","",F35)</f>
      </c>
      <c r="Q35" s="438"/>
      <c r="R35" s="215">
        <f aca="true" t="shared" si="21" ref="R35:R41">IF(Q35=0,0,T35*Q35)</f>
        <v>0</v>
      </c>
      <c r="S35" s="283"/>
      <c r="T35" s="437">
        <f aca="true" t="shared" si="22" ref="T35:T41">E35</f>
        <v>0</v>
      </c>
      <c r="U35" s="437">
        <f aca="true" t="shared" si="23" ref="U35:U41">N35</f>
        <v>0</v>
      </c>
      <c r="V35" s="215">
        <f aca="true" t="shared" si="24" ref="V35:V41">IF(T35=0,0,T35*U35)</f>
        <v>0</v>
      </c>
      <c r="W35" s="215">
        <f aca="true" t="shared" si="25" ref="W35:W41">I35</f>
        <v>0</v>
      </c>
      <c r="X35" s="215">
        <f aca="true" t="shared" si="26" ref="X35:X41">IF(V35=0,0,V35-W35)</f>
        <v>0</v>
      </c>
      <c r="Y35" s="445"/>
    </row>
    <row r="36" spans="1:25" s="19" customFormat="1" ht="13.5" customHeight="1">
      <c r="A36" s="239"/>
      <c r="B36" s="248"/>
      <c r="C36" s="249"/>
      <c r="D36" s="249"/>
      <c r="E36" s="439">
        <f t="shared" si="15"/>
        <v>0</v>
      </c>
      <c r="F36" s="64"/>
      <c r="G36" s="376"/>
      <c r="H36" s="250">
        <f t="shared" si="16"/>
        <v>0</v>
      </c>
      <c r="I36" s="256"/>
      <c r="J36" s="419">
        <f t="shared" si="17"/>
        <v>0</v>
      </c>
      <c r="K36" s="436"/>
      <c r="L36" s="173">
        <f t="shared" si="18"/>
        <v>0</v>
      </c>
      <c r="M36" s="214"/>
      <c r="N36" s="437">
        <f t="shared" si="19"/>
        <v>0</v>
      </c>
      <c r="O36" s="173">
        <f aca="true" t="shared" si="27" ref="O36:O41">(T36*N36)-I36</f>
        <v>0</v>
      </c>
      <c r="P36" s="496">
        <f t="shared" si="20"/>
      </c>
      <c r="Q36" s="438"/>
      <c r="R36" s="215">
        <f t="shared" si="21"/>
        <v>0</v>
      </c>
      <c r="S36" s="283"/>
      <c r="T36" s="437">
        <f t="shared" si="22"/>
        <v>0</v>
      </c>
      <c r="U36" s="437">
        <f t="shared" si="23"/>
        <v>0</v>
      </c>
      <c r="V36" s="215">
        <f t="shared" si="24"/>
        <v>0</v>
      </c>
      <c r="W36" s="215">
        <f t="shared" si="25"/>
        <v>0</v>
      </c>
      <c r="X36" s="215">
        <f t="shared" si="26"/>
        <v>0</v>
      </c>
      <c r="Y36" s="445"/>
    </row>
    <row r="37" spans="1:25" s="19" customFormat="1" ht="13.5" customHeight="1">
      <c r="A37" s="239"/>
      <c r="B37" s="248"/>
      <c r="C37" s="249"/>
      <c r="D37" s="249"/>
      <c r="E37" s="439">
        <f t="shared" si="15"/>
        <v>0</v>
      </c>
      <c r="F37" s="64"/>
      <c r="G37" s="376"/>
      <c r="H37" s="250">
        <f t="shared" si="16"/>
        <v>0</v>
      </c>
      <c r="I37" s="256"/>
      <c r="J37" s="419">
        <f t="shared" si="17"/>
        <v>0</v>
      </c>
      <c r="K37" s="436"/>
      <c r="L37" s="173">
        <f t="shared" si="18"/>
        <v>0</v>
      </c>
      <c r="M37" s="214"/>
      <c r="N37" s="437">
        <f t="shared" si="19"/>
        <v>0</v>
      </c>
      <c r="O37" s="173">
        <f t="shared" si="27"/>
        <v>0</v>
      </c>
      <c r="P37" s="496">
        <f t="shared" si="20"/>
      </c>
      <c r="Q37" s="438"/>
      <c r="R37" s="215">
        <f t="shared" si="21"/>
        <v>0</v>
      </c>
      <c r="S37" s="283"/>
      <c r="T37" s="437">
        <f t="shared" si="22"/>
        <v>0</v>
      </c>
      <c r="U37" s="437">
        <f t="shared" si="23"/>
        <v>0</v>
      </c>
      <c r="V37" s="215">
        <f t="shared" si="24"/>
        <v>0</v>
      </c>
      <c r="W37" s="215">
        <f t="shared" si="25"/>
        <v>0</v>
      </c>
      <c r="X37" s="215">
        <f t="shared" si="26"/>
        <v>0</v>
      </c>
      <c r="Y37" s="445"/>
    </row>
    <row r="38" spans="1:25" s="19" customFormat="1" ht="13.5" customHeight="1">
      <c r="A38" s="239"/>
      <c r="B38" s="248"/>
      <c r="C38" s="249"/>
      <c r="D38" s="249"/>
      <c r="E38" s="439">
        <f t="shared" si="15"/>
        <v>0</v>
      </c>
      <c r="F38" s="64"/>
      <c r="G38" s="376"/>
      <c r="H38" s="250">
        <f t="shared" si="16"/>
        <v>0</v>
      </c>
      <c r="I38" s="256"/>
      <c r="J38" s="419">
        <f t="shared" si="17"/>
        <v>0</v>
      </c>
      <c r="K38" s="436"/>
      <c r="L38" s="173">
        <f t="shared" si="18"/>
        <v>0</v>
      </c>
      <c r="M38" s="214"/>
      <c r="N38" s="437">
        <f t="shared" si="19"/>
        <v>0</v>
      </c>
      <c r="O38" s="173">
        <f t="shared" si="27"/>
        <v>0</v>
      </c>
      <c r="P38" s="496">
        <f t="shared" si="20"/>
      </c>
      <c r="Q38" s="438"/>
      <c r="R38" s="215">
        <f t="shared" si="21"/>
        <v>0</v>
      </c>
      <c r="S38" s="283"/>
      <c r="T38" s="437">
        <f t="shared" si="22"/>
        <v>0</v>
      </c>
      <c r="U38" s="437">
        <f t="shared" si="23"/>
        <v>0</v>
      </c>
      <c r="V38" s="215">
        <f t="shared" si="24"/>
        <v>0</v>
      </c>
      <c r="W38" s="215">
        <f t="shared" si="25"/>
        <v>0</v>
      </c>
      <c r="X38" s="215">
        <f t="shared" si="26"/>
        <v>0</v>
      </c>
      <c r="Y38" s="445"/>
    </row>
    <row r="39" spans="1:25" s="19" customFormat="1" ht="13.5" customHeight="1">
      <c r="A39" s="239"/>
      <c r="B39" s="248"/>
      <c r="C39" s="249"/>
      <c r="D39" s="249"/>
      <c r="E39" s="439">
        <f t="shared" si="15"/>
        <v>0</v>
      </c>
      <c r="F39" s="64"/>
      <c r="G39" s="376"/>
      <c r="H39" s="250">
        <f t="shared" si="16"/>
        <v>0</v>
      </c>
      <c r="I39" s="256"/>
      <c r="J39" s="419">
        <f t="shared" si="17"/>
        <v>0</v>
      </c>
      <c r="K39" s="436"/>
      <c r="L39" s="173">
        <f t="shared" si="18"/>
        <v>0</v>
      </c>
      <c r="M39" s="214"/>
      <c r="N39" s="437">
        <f t="shared" si="19"/>
        <v>0</v>
      </c>
      <c r="O39" s="173">
        <f t="shared" si="27"/>
        <v>0</v>
      </c>
      <c r="P39" s="496">
        <f t="shared" si="20"/>
      </c>
      <c r="Q39" s="438"/>
      <c r="R39" s="215">
        <f t="shared" si="21"/>
        <v>0</v>
      </c>
      <c r="S39" s="283"/>
      <c r="T39" s="437">
        <f t="shared" si="22"/>
        <v>0</v>
      </c>
      <c r="U39" s="437">
        <f t="shared" si="23"/>
        <v>0</v>
      </c>
      <c r="V39" s="215">
        <f t="shared" si="24"/>
        <v>0</v>
      </c>
      <c r="W39" s="215">
        <f t="shared" si="25"/>
        <v>0</v>
      </c>
      <c r="X39" s="215">
        <f t="shared" si="26"/>
        <v>0</v>
      </c>
      <c r="Y39" s="445"/>
    </row>
    <row r="40" spans="1:25" s="19" customFormat="1" ht="13.5" customHeight="1">
      <c r="A40" s="239"/>
      <c r="B40" s="248"/>
      <c r="C40" s="249"/>
      <c r="D40" s="249"/>
      <c r="E40" s="439">
        <f t="shared" si="15"/>
        <v>0</v>
      </c>
      <c r="F40" s="64"/>
      <c r="G40" s="376"/>
      <c r="H40" s="250">
        <f t="shared" si="16"/>
        <v>0</v>
      </c>
      <c r="I40" s="256"/>
      <c r="J40" s="419">
        <f t="shared" si="17"/>
        <v>0</v>
      </c>
      <c r="K40" s="436"/>
      <c r="L40" s="173">
        <f t="shared" si="18"/>
        <v>0</v>
      </c>
      <c r="M40" s="214"/>
      <c r="N40" s="437">
        <f t="shared" si="19"/>
        <v>0</v>
      </c>
      <c r="O40" s="173">
        <f t="shared" si="27"/>
        <v>0</v>
      </c>
      <c r="P40" s="496">
        <f t="shared" si="20"/>
      </c>
      <c r="Q40" s="438"/>
      <c r="R40" s="215">
        <f t="shared" si="21"/>
        <v>0</v>
      </c>
      <c r="S40" s="283"/>
      <c r="T40" s="437">
        <f t="shared" si="22"/>
        <v>0</v>
      </c>
      <c r="U40" s="437">
        <f t="shared" si="23"/>
        <v>0</v>
      </c>
      <c r="V40" s="215">
        <f t="shared" si="24"/>
        <v>0</v>
      </c>
      <c r="W40" s="215">
        <f t="shared" si="25"/>
        <v>0</v>
      </c>
      <c r="X40" s="215">
        <f t="shared" si="26"/>
        <v>0</v>
      </c>
      <c r="Y40" s="445"/>
    </row>
    <row r="41" spans="1:25" s="19" customFormat="1" ht="13.5" customHeight="1">
      <c r="A41" s="239"/>
      <c r="B41" s="248"/>
      <c r="C41" s="249"/>
      <c r="D41" s="249"/>
      <c r="E41" s="439">
        <f t="shared" si="15"/>
        <v>0</v>
      </c>
      <c r="F41" s="64"/>
      <c r="G41" s="376"/>
      <c r="H41" s="250">
        <f t="shared" si="16"/>
        <v>0</v>
      </c>
      <c r="I41" s="256"/>
      <c r="J41" s="419">
        <f t="shared" si="17"/>
        <v>0</v>
      </c>
      <c r="K41" s="436"/>
      <c r="L41" s="173">
        <f t="shared" si="18"/>
        <v>0</v>
      </c>
      <c r="M41" s="214"/>
      <c r="N41" s="437">
        <f t="shared" si="19"/>
        <v>0</v>
      </c>
      <c r="O41" s="173">
        <f t="shared" si="27"/>
        <v>0</v>
      </c>
      <c r="P41" s="496">
        <f t="shared" si="20"/>
      </c>
      <c r="Q41" s="438"/>
      <c r="R41" s="215">
        <f t="shared" si="21"/>
        <v>0</v>
      </c>
      <c r="S41" s="283"/>
      <c r="T41" s="437">
        <f t="shared" si="22"/>
        <v>0</v>
      </c>
      <c r="U41" s="437">
        <f t="shared" si="23"/>
        <v>0</v>
      </c>
      <c r="V41" s="215">
        <f t="shared" si="24"/>
        <v>0</v>
      </c>
      <c r="W41" s="215">
        <f t="shared" si="25"/>
        <v>0</v>
      </c>
      <c r="X41" s="215">
        <f t="shared" si="26"/>
        <v>0</v>
      </c>
      <c r="Y41" s="445"/>
    </row>
    <row r="42" spans="1:25" s="198" customFormat="1" ht="6.75" customHeight="1">
      <c r="A42" s="207" t="s">
        <v>18</v>
      </c>
      <c r="B42" s="205"/>
      <c r="C42" s="144"/>
      <c r="D42" s="144"/>
      <c r="E42" s="251"/>
      <c r="F42" s="251"/>
      <c r="G42" s="378"/>
      <c r="H42" s="217"/>
      <c r="I42" s="217"/>
      <c r="J42" s="217">
        <f>IF(G42&lt;&gt;"",G42*H42,"")</f>
      </c>
      <c r="K42" s="426"/>
      <c r="L42" s="212"/>
      <c r="M42" s="214"/>
      <c r="N42" s="370"/>
      <c r="O42" s="212"/>
      <c r="P42" s="212"/>
      <c r="Q42" s="369">
        <f>IF(M42="","",M42)</f>
      </c>
      <c r="R42" s="221">
        <f>IF(AND(T42&lt;&gt;"",U42&lt;&gt;""),T42*U42,"")</f>
      </c>
      <c r="S42" s="221"/>
      <c r="T42" s="220"/>
      <c r="U42" s="369">
        <f>IF(G42="","",G42)</f>
      </c>
      <c r="V42" s="221"/>
      <c r="W42" s="221"/>
      <c r="X42" s="221"/>
      <c r="Y42" s="206"/>
    </row>
    <row r="43" spans="1:25" s="19" customFormat="1" ht="12" customHeight="1">
      <c r="A43" s="239" t="s">
        <v>142</v>
      </c>
      <c r="B43" s="241"/>
      <c r="C43" s="497" t="str">
        <f>"TOTALE "&amp;IF(riepilogo!scelta="I","PROCESSI","RICERCA")</f>
        <v>TOTALE RICERCA</v>
      </c>
      <c r="D43" s="178" t="s">
        <v>25</v>
      </c>
      <c r="E43" s="443"/>
      <c r="F43" s="443"/>
      <c r="G43" s="376">
        <f>IF(riepilogo!scelta="I",SUMIF($F35:$F41,"P",G35:G41),SUMIF($F35:$F41,"R",G35:G41))</f>
        <v>0</v>
      </c>
      <c r="H43" s="432">
        <f>IF(riepilogo!scelta="I",SUMIF($F35:$F41,"P",H35:H41),SUMIF($F35:$F41,"R",H35:H41))</f>
        <v>0</v>
      </c>
      <c r="I43" s="432">
        <f>IF(riepilogo!scelta="I",SUMIF($F35:$F41,"P",I35:I41),SUMIF($F35:$F41,"R",I35:I41))</f>
        <v>0</v>
      </c>
      <c r="J43" s="433">
        <f>IF(riepilogo!scelta="I",SUMIF($F35:$F41,"P",J35:J41),SUMIF($F35:$F41,"R",J35:J41))</f>
        <v>0</v>
      </c>
      <c r="K43" s="423">
        <f>IF(riepilogo!scelta="I",SUMIF($P35:$P41,"P",K35:K41),SUMIF($P35:$P41,"R",K35:K41))</f>
        <v>0</v>
      </c>
      <c r="L43" s="153">
        <f>IF(riepilogo!scelta="I",SUMIF($P35:$P41,"P",L35:L41),SUMIF($P35:$P41,"R",L35:L41))</f>
        <v>0</v>
      </c>
      <c r="M43" s="214"/>
      <c r="N43" s="367">
        <f>IF(riepilogo!scelta="I",SUMIF($P35:$P41,"P",N35:N41),SUMIF($P35:$P41,"R",N35:N41))</f>
        <v>0</v>
      </c>
      <c r="O43" s="153">
        <f>IF(riepilogo!scelta="I",SUMIF($P35:$P41,"P",O35:O41),SUMIF($P35:$P41,"R",O35:O41))</f>
        <v>0</v>
      </c>
      <c r="P43" s="498"/>
      <c r="Q43" s="367">
        <f>IF(riepilogo!scelta="I",SUMIF($P35:$P41,"P",Q35:Q41),SUMIF($P35:$P41,"R",Q35:Q41))</f>
        <v>0</v>
      </c>
      <c r="R43" s="434">
        <f>IF(riepilogo!scelta="I",SUMIF($P35:$P41,"P",R35:R41),SUMIF($P35:$P41,"R",R35:R41))</f>
        <v>0</v>
      </c>
      <c r="S43" s="290"/>
      <c r="T43" s="292"/>
      <c r="U43" s="367">
        <f>IF(riepilogo!scelta="I",SUMIF($P35:$P41,"P",U35:U41),SUMIF($P35:$P41,"R",U35:U41))</f>
        <v>0</v>
      </c>
      <c r="V43" s="434">
        <f>IF(riepilogo!scelta="I",SUMIF($P35:$P41,"P",V35:V41),SUMIF($P35:$P41,"R",V35:V41))</f>
        <v>0</v>
      </c>
      <c r="W43" s="434">
        <f>IF(riepilogo!scelta="I",SUMIF($P35:$P41,"P",W35:W41),SUMIF($P35:$P41,"R",W35:W41))</f>
        <v>0</v>
      </c>
      <c r="X43" s="434">
        <f>IF(riepilogo!scelta="I",SUMIF($P35:$P41,"P",X35:X41),SUMIF($P35:$P41,"R",X35:X41))</f>
        <v>0</v>
      </c>
      <c r="Y43" s="445"/>
    </row>
    <row r="44" spans="1:25" s="19" customFormat="1" ht="12" customHeight="1">
      <c r="A44" s="239"/>
      <c r="B44" s="241"/>
      <c r="C44" s="497" t="str">
        <f>"TOTALE "&amp;IF(riepilogo!scelta="I","ORGANIZZAZIONE","SVILUPPO")</f>
        <v>TOTALE SVILUPPO</v>
      </c>
      <c r="D44" s="178" t="s">
        <v>25</v>
      </c>
      <c r="E44" s="443"/>
      <c r="F44" s="443"/>
      <c r="G44" s="376">
        <f>IF(riepilogo!scelta="I",SUMIF($F35:$F41,"O",G35:G41),SUMIF($F35:$F41,"S",G35:G41))</f>
        <v>0</v>
      </c>
      <c r="H44" s="432">
        <f>IF(riepilogo!scelta="I",SUMIF($F35:$F41,"O",H35:H41),SUMIF($F35:$F41,"S",H35:H41))</f>
        <v>0</v>
      </c>
      <c r="I44" s="432">
        <f>IF(riepilogo!scelta="I",SUMIF($F35:$F41,"O",I35:I41),SUMIF($F35:$F41,"S",I35:I41))</f>
        <v>0</v>
      </c>
      <c r="J44" s="433">
        <f>IF(riepilogo!scelta="I",SUMIF($F35:$F41,"O",J35:J41),SUMIF($F35:$F41,"S",J35:J41))</f>
        <v>0</v>
      </c>
      <c r="K44" s="423">
        <f>IF(riepilogo!scelta="I",SUMIF($P35:$P41,"O",K35:K41),SUMIF($P35:$P41,"S",K35:K41))</f>
        <v>0</v>
      </c>
      <c r="L44" s="153">
        <f>IF(riepilogo!scelta="I",SUMIF($P35:$P41,"O",L35:L41),SUMIF($P35:$P41,"S",L35:L41))</f>
        <v>0</v>
      </c>
      <c r="M44" s="214"/>
      <c r="N44" s="367">
        <f>IF(riepilogo!scelta="I",SUMIF($P35:$P41,"O",N35:N41),SUMIF($P35:$P41,"S",N35:N41))</f>
        <v>0</v>
      </c>
      <c r="O44" s="153">
        <f>IF(riepilogo!scelta="I",SUMIF($P35:$P41,"O",O35:O41),SUMIF($P35:$P41,"S",O35:O41))</f>
        <v>0</v>
      </c>
      <c r="P44" s="498"/>
      <c r="Q44" s="367">
        <f>IF(riepilogo!scelta="I",SUMIF($P35:$P41,"O",Q35:Q41),SUMIF($P35:$P41,"S",Q35:Q41))</f>
        <v>0</v>
      </c>
      <c r="R44" s="434">
        <f>IF(riepilogo!scelta="I",SUMIF($P35:$P41,"O",R35:R41),SUMIF($P35:$P41,"S",R35:R41))</f>
        <v>0</v>
      </c>
      <c r="S44" s="290"/>
      <c r="T44" s="292"/>
      <c r="U44" s="367">
        <f>IF(riepilogo!scelta="I",SUMIF($P35:$P41,"O",U35:U41),SUMIF($P35:$P41,"S",U35:U41))</f>
        <v>0</v>
      </c>
      <c r="V44" s="434">
        <f>IF(riepilogo!scelta="I",SUMIF($P35:$P41,"O",V35:V41),SUMIF($P35:$P41,"S",V35:V41))</f>
        <v>0</v>
      </c>
      <c r="W44" s="434">
        <f>IF(riepilogo!scelta="I",SUMIF($P35:$P41,"O",W35:W41),SUMIF($P35:$P41,"S",W35:W41))</f>
        <v>0</v>
      </c>
      <c r="X44" s="434">
        <f>IF(riepilogo!scelta="I",SUMIF($P35:$P41,"O",X35:X41),SUMIF($P35:$P41,"S",X35:X41))</f>
        <v>0</v>
      </c>
      <c r="Y44" s="445"/>
    </row>
    <row r="45" spans="1:25" s="571" customFormat="1" ht="9.75" customHeight="1">
      <c r="A45" s="238"/>
      <c r="B45" s="564"/>
      <c r="C45" s="564"/>
      <c r="D45" s="564"/>
      <c r="E45" s="564"/>
      <c r="F45" s="564"/>
      <c r="G45" s="104">
        <f aca="true" t="shared" si="28" ref="G45:L45">SUM(G43:G44)</f>
        <v>0</v>
      </c>
      <c r="H45" s="565">
        <f t="shared" si="28"/>
        <v>0</v>
      </c>
      <c r="I45" s="565">
        <f t="shared" si="28"/>
        <v>0</v>
      </c>
      <c r="J45" s="565">
        <f t="shared" si="28"/>
        <v>0</v>
      </c>
      <c r="K45" s="604">
        <f t="shared" si="28"/>
        <v>0</v>
      </c>
      <c r="L45" s="566">
        <f t="shared" si="28"/>
        <v>0</v>
      </c>
      <c r="M45" s="567"/>
      <c r="N45" s="568">
        <f>SUM(N43:N44)</f>
        <v>0</v>
      </c>
      <c r="O45" s="566">
        <f>SUM(O43:O44)</f>
        <v>0</v>
      </c>
      <c r="P45" s="566"/>
      <c r="Q45" s="569">
        <f>SUM(Q43:Q44)</f>
        <v>0</v>
      </c>
      <c r="R45" s="518">
        <f>SUM(R43:R44)</f>
        <v>0</v>
      </c>
      <c r="S45" s="570"/>
      <c r="U45" s="569">
        <f>SUM(U43:U44)</f>
        <v>0</v>
      </c>
      <c r="V45" s="518">
        <f>SUM(V43:V44)</f>
        <v>0</v>
      </c>
      <c r="W45" s="518">
        <f>SUM(W43:W44)</f>
        <v>0</v>
      </c>
      <c r="X45" s="518">
        <f>SUM(X43:X44)</f>
        <v>0</v>
      </c>
      <c r="Y45" s="572"/>
    </row>
    <row r="46" spans="2:12" ht="34.5" customHeight="1">
      <c r="B46" s="623" t="s">
        <v>154</v>
      </c>
      <c r="C46" s="623"/>
      <c r="D46" s="623"/>
      <c r="E46" s="623"/>
      <c r="F46" s="623"/>
      <c r="G46" s="376">
        <f>ore+oreoperai</f>
        <v>0</v>
      </c>
      <c r="H46" s="517"/>
      <c r="K46" s="423">
        <f>K31+K45</f>
        <v>0</v>
      </c>
      <c r="L46" s="600" t="e">
        <f>ROUNDDOWN(K46/G46,4)</f>
        <v>#DIV/0!</v>
      </c>
    </row>
  </sheetData>
  <sheetProtection password="CC84" sheet="1" objects="1" scenarios="1" formatColumns="0" formatRows="0"/>
  <mergeCells count="26">
    <mergeCell ref="B32:D32"/>
    <mergeCell ref="P33:P34"/>
    <mergeCell ref="D29:E29"/>
    <mergeCell ref="P6:P7"/>
    <mergeCell ref="P11:P12"/>
    <mergeCell ref="K33:L33"/>
    <mergeCell ref="H33:I33"/>
    <mergeCell ref="T33:X33"/>
    <mergeCell ref="Y33:Y34"/>
    <mergeCell ref="Q6:R6"/>
    <mergeCell ref="Y6:Y7"/>
    <mergeCell ref="T6:X6"/>
    <mergeCell ref="Q11:R11"/>
    <mergeCell ref="T11:X11"/>
    <mergeCell ref="Y11:Y12"/>
    <mergeCell ref="Q33:R33"/>
    <mergeCell ref="B46:F46"/>
    <mergeCell ref="B4:D4"/>
    <mergeCell ref="N33:O33"/>
    <mergeCell ref="H6:I6"/>
    <mergeCell ref="N11:O11"/>
    <mergeCell ref="H11:I11"/>
    <mergeCell ref="K6:L6"/>
    <mergeCell ref="K11:L11"/>
    <mergeCell ref="D30:E30"/>
    <mergeCell ref="N6:O6"/>
  </mergeCells>
  <conditionalFormatting sqref="F9">
    <cfRule type="cellIs" priority="1" dxfId="0" operator="equal" stopIfTrue="1">
      <formula>"S"</formula>
    </cfRule>
    <cfRule type="cellIs" priority="2" dxfId="1" operator="equal" stopIfTrue="1">
      <formula>"O"</formula>
    </cfRule>
  </conditionalFormatting>
  <conditionalFormatting sqref="F8 F13:F25 F35:F41">
    <cfRule type="cellIs" priority="3" dxfId="0" operator="equal" stopIfTrue="1">
      <formula>"S"</formula>
    </cfRule>
    <cfRule type="cellIs" priority="4" dxfId="0" operator="equal" stopIfTrue="1">
      <formula>"O"</formula>
    </cfRule>
  </conditionalFormatting>
  <dataValidations count="2">
    <dataValidation allowBlank="1" showInputMessage="1" showErrorMessage="1" prompt="le righe si possono allargare" sqref="B13:B25"/>
    <dataValidation type="list" allowBlank="1" showInputMessage="1" showErrorMessage="1" prompt="€ 32 dirigente&#10;€ 21 quadro&#10;€ 20 impiegato" sqref="E8:E9">
      <formula1>tariffe</formula1>
    </dataValidation>
  </dataValidations>
  <printOptions/>
  <pageMargins left="0.2" right="0.19" top="0.3937007874015748" bottom="0.3937007874015748" header="0.31496062992125984" footer="0.3937007874015748"/>
  <pageSetup fitToHeight="100" fitToWidth="1" horizontalDpi="300" verticalDpi="300" orientation="portrait" paperSize="9" r:id="rId1"/>
  <headerFooter alignWithMargins="0">
    <oddFooter>&amp;R&amp;"Verdana,Normale"&amp;8&amp;P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tabColor indexed="57"/>
  </sheetPr>
  <dimension ref="A1:AH8"/>
  <sheetViews>
    <sheetView workbookViewId="0" topLeftCell="A1">
      <pane xSplit="2" ySplit="5" topLeftCell="C43" activePane="bottomRight" state="frozen"/>
      <selection pane="topLeft" activeCell="B4" sqref="B4:B7"/>
      <selection pane="topRight" activeCell="B4" sqref="B4:B7"/>
      <selection pane="bottomLeft" activeCell="B4" sqref="B4:B7"/>
      <selection pane="bottomRight" activeCell="B4" sqref="B4"/>
    </sheetView>
  </sheetViews>
  <sheetFormatPr defaultColWidth="9.140625" defaultRowHeight="12.75"/>
  <cols>
    <col min="1" max="1" width="4.421875" style="77" customWidth="1"/>
    <col min="2" max="2" width="10.7109375" style="75" customWidth="1"/>
    <col min="3" max="3" width="4.140625" style="93" customWidth="1"/>
    <col min="4" max="16384" width="4.140625" style="92" customWidth="1"/>
  </cols>
  <sheetData>
    <row r="1" spans="1:24" s="83" customFormat="1" ht="23.25" customHeight="1">
      <c r="A1" s="123"/>
      <c r="B1" s="78" t="s">
        <v>31</v>
      </c>
      <c r="C1" s="79"/>
      <c r="D1" s="80"/>
      <c r="E1" s="80"/>
      <c r="F1" s="81"/>
      <c r="G1" s="82"/>
      <c r="X1" s="84"/>
    </row>
    <row r="2" spans="1:22" s="89" customFormat="1" ht="17.25" customHeight="1">
      <c r="A2" s="76" t="str">
        <f>[0]!pswattiva</f>
        <v>.</v>
      </c>
      <c r="B2" s="96"/>
      <c r="C2" s="85"/>
      <c r="D2" s="86"/>
      <c r="E2" s="86"/>
      <c r="F2" s="87"/>
      <c r="G2" s="88"/>
      <c r="V2" s="90" t="s">
        <v>11</v>
      </c>
    </row>
    <row r="3" spans="1:34" s="97" customFormat="1" ht="27.75" customHeight="1">
      <c r="A3" s="202"/>
      <c r="B3" s="203"/>
      <c r="C3" s="182"/>
      <c r="D3" s="183"/>
      <c r="E3" s="183"/>
      <c r="F3" s="184"/>
      <c r="G3" s="185"/>
      <c r="V3" s="91" t="str">
        <f>"rendicontazione "&amp;IF(riepilogo!scelta="R","Ricerca",IF(riepilogo!scelta="I","Innovazione processi",""))&amp;" - diario ricercatori e manodopera"</f>
        <v>rendicontazione  - diario ricercatori e manodopera</v>
      </c>
      <c r="AH3" s="201"/>
    </row>
    <row r="4" spans="1:3" s="95" customFormat="1" ht="9">
      <c r="A4" s="77"/>
      <c r="B4" s="75"/>
      <c r="C4" s="94"/>
    </row>
    <row r="5" spans="1:3" s="67" customFormat="1" ht="9">
      <c r="A5" s="65"/>
      <c r="B5" s="74"/>
      <c r="C5" s="66"/>
    </row>
    <row r="7" ht="9">
      <c r="B7" s="593"/>
    </row>
    <row r="8" ht="9">
      <c r="B8" s="592"/>
    </row>
  </sheetData>
  <sheetProtection password="CC84" sheet="1" objects="1" scenarios="1"/>
  <printOptions/>
  <pageMargins left="0.28" right="0.3937007874015748" top="0.3937007874015748" bottom="1.1023622047244095" header="0.31496062992125984" footer="0.3937007874015748"/>
  <pageSetup horizontalDpi="300" verticalDpi="300" orientation="portrait" paperSize="9" r:id="rId1"/>
  <headerFooter alignWithMargins="0">
    <oddFooter>&amp;C&amp;"Verdana,Normale"&amp;8___________________________                    ___________________________
 firma  responsabile ricerca                              firma legale rappresentante
&amp;R&amp;"Verdana,Normale"&amp;8&amp;P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>
    <tabColor indexed="57"/>
  </sheetPr>
  <dimension ref="A1:AH5"/>
  <sheetViews>
    <sheetView workbookViewId="0" topLeftCell="A1">
      <pane xSplit="2" ySplit="5" topLeftCell="C6" activePane="bottomRight" state="frozen"/>
      <selection pane="topLeft" activeCell="B4" sqref="B4:B7"/>
      <selection pane="topRight" activeCell="B4" sqref="B4:B7"/>
      <selection pane="bottomLeft" activeCell="B4" sqref="B4:B7"/>
      <selection pane="bottomRight" activeCell="B4" sqref="B4"/>
    </sheetView>
  </sheetViews>
  <sheetFormatPr defaultColWidth="9.140625" defaultRowHeight="12.75"/>
  <cols>
    <col min="1" max="1" width="4.421875" style="77" customWidth="1"/>
    <col min="2" max="2" width="10.7109375" style="75" customWidth="1"/>
    <col min="3" max="3" width="4.140625" style="93" customWidth="1"/>
    <col min="4" max="16384" width="4.140625" style="92" customWidth="1"/>
  </cols>
  <sheetData>
    <row r="1" spans="1:24" s="83" customFormat="1" ht="23.25" customHeight="1">
      <c r="A1" s="123"/>
      <c r="B1" s="78" t="s">
        <v>31</v>
      </c>
      <c r="C1" s="79"/>
      <c r="D1" s="80"/>
      <c r="E1" s="80"/>
      <c r="F1" s="81"/>
      <c r="G1" s="82"/>
      <c r="X1" s="84"/>
    </row>
    <row r="2" spans="1:22" s="89" customFormat="1" ht="17.25" customHeight="1">
      <c r="A2" s="76" t="str">
        <f>[0]!pswattiva</f>
        <v>.</v>
      </c>
      <c r="B2" s="96"/>
      <c r="C2" s="85"/>
      <c r="D2" s="86"/>
      <c r="E2" s="86"/>
      <c r="F2" s="87"/>
      <c r="G2" s="88"/>
      <c r="V2" s="90" t="s">
        <v>11</v>
      </c>
    </row>
    <row r="3" spans="1:34" s="97" customFormat="1" ht="27.75" customHeight="1">
      <c r="A3" s="202"/>
      <c r="B3" s="203"/>
      <c r="C3" s="182"/>
      <c r="D3" s="183"/>
      <c r="E3" s="183"/>
      <c r="F3" s="184"/>
      <c r="G3" s="185"/>
      <c r="V3" s="91" t="str">
        <f>"rendicontazione "&amp;IF(riepilogo!scelta="R","Sviluppo",IF(riepilogo!scelta="I","Innovazione organizzazione",""))&amp;" - diario ricercatori e manodopera"</f>
        <v>rendicontazione  - diario ricercatori e manodopera</v>
      </c>
      <c r="AH3" s="201"/>
    </row>
    <row r="4" spans="1:3" s="95" customFormat="1" ht="9">
      <c r="A4" s="77"/>
      <c r="B4" s="75"/>
      <c r="C4" s="94"/>
    </row>
    <row r="5" spans="1:3" s="67" customFormat="1" ht="9">
      <c r="A5" s="65"/>
      <c r="B5" s="74"/>
      <c r="C5" s="66"/>
    </row>
  </sheetData>
  <sheetProtection password="CC84" sheet="1" objects="1" scenarios="1"/>
  <printOptions/>
  <pageMargins left="0.28" right="0.3937007874015748" top="0.3937007874015748" bottom="1.1023622047244095" header="0.31496062992125984" footer="0.3937007874015748"/>
  <pageSetup horizontalDpi="300" verticalDpi="300" orientation="portrait" paperSize="9" r:id="rId1"/>
  <headerFooter alignWithMargins="0">
    <oddFooter>&amp;C&amp;"Verdana,Normale"&amp;8___________________________                    ___________________________
 firma  responsabile ricerca                              firma legale rappresentante
&amp;R&amp;"Verdana,Normale"&amp;8&amp;P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3">
    <tabColor indexed="50"/>
    <pageSetUpPr fitToPage="1"/>
  </sheetPr>
  <dimension ref="A1:X29"/>
  <sheetViews>
    <sheetView workbookViewId="0" topLeftCell="A1">
      <selection activeCell="B3" sqref="B3"/>
    </sheetView>
  </sheetViews>
  <sheetFormatPr defaultColWidth="9.140625" defaultRowHeight="12.75"/>
  <cols>
    <col min="1" max="1" width="3.140625" style="23" bestFit="1" customWidth="1"/>
    <col min="2" max="2" width="22.7109375" style="19" customWidth="1"/>
    <col min="3" max="3" width="21.57421875" style="19" customWidth="1"/>
    <col min="4" max="4" width="6.8515625" style="23" customWidth="1"/>
    <col min="5" max="5" width="6.421875" style="27" customWidth="1"/>
    <col min="6" max="6" width="9.57421875" style="19" customWidth="1"/>
    <col min="7" max="7" width="4.421875" style="350" customWidth="1"/>
    <col min="8" max="8" width="8.8515625" style="140" customWidth="1"/>
    <col min="9" max="9" width="9.57421875" style="27" customWidth="1"/>
    <col min="10" max="10" width="9.00390625" style="155" customWidth="1"/>
    <col min="11" max="11" width="14.28125" style="19" customWidth="1"/>
    <col min="12" max="12" width="2.421875" style="58" customWidth="1"/>
    <col min="13" max="13" width="13.57421875" style="19" customWidth="1"/>
    <col min="14" max="14" width="14.28125" style="19" customWidth="1"/>
    <col min="15" max="15" width="5.421875" style="429" hidden="1" customWidth="1"/>
    <col min="16" max="16" width="5.28125" style="246" hidden="1" customWidth="1"/>
    <col min="17" max="17" width="12.8515625" style="151" hidden="1" customWidth="1"/>
    <col min="18" max="18" width="2.00390625" style="509" hidden="1" customWidth="1"/>
    <col min="19" max="19" width="4.421875" style="147" hidden="1" customWidth="1"/>
    <col min="20" max="20" width="5.421875" style="277" hidden="1" customWidth="1"/>
    <col min="21" max="21" width="12.8515625" style="208" hidden="1" customWidth="1"/>
    <col min="22" max="22" width="12.8515625" style="180" hidden="1" customWidth="1"/>
    <col min="23" max="23" width="12.8515625" style="19" hidden="1" customWidth="1"/>
    <col min="24" max="24" width="44.28125" style="19" hidden="1" customWidth="1"/>
    <col min="25" max="16384" width="9.140625" style="19" customWidth="1"/>
  </cols>
  <sheetData>
    <row r="1" spans="1:24" ht="17.25" customHeight="1">
      <c r="A1" s="19"/>
      <c r="B1" s="72" t="s">
        <v>32</v>
      </c>
      <c r="C1" s="72"/>
      <c r="D1" s="165">
        <f>datainizioprogetto</f>
        <v>0</v>
      </c>
      <c r="F1" s="48"/>
      <c r="G1" s="349"/>
      <c r="H1" s="141"/>
      <c r="M1" s="155"/>
      <c r="N1" s="49" t="s">
        <v>11</v>
      </c>
      <c r="O1" s="403" t="s">
        <v>124</v>
      </c>
      <c r="P1" s="242"/>
      <c r="Q1" s="150"/>
      <c r="R1" s="508"/>
      <c r="S1" s="145"/>
      <c r="T1" s="276"/>
      <c r="X1" s="49" t="s">
        <v>11</v>
      </c>
    </row>
    <row r="2" spans="1:24" ht="17.25" customHeight="1" thickBot="1">
      <c r="A2" s="19"/>
      <c r="B2" s="48"/>
      <c r="C2" s="48"/>
      <c r="D2" s="165">
        <f>datafineprogetto</f>
        <v>0</v>
      </c>
      <c r="F2" s="48"/>
      <c r="G2" s="349"/>
      <c r="H2" s="141"/>
      <c r="M2" s="155"/>
      <c r="N2" s="50" t="s">
        <v>145</v>
      </c>
      <c r="O2" s="428"/>
      <c r="P2" s="97"/>
      <c r="Q2" s="150"/>
      <c r="R2" s="508"/>
      <c r="S2" s="145"/>
      <c r="T2" s="276"/>
      <c r="X2" s="50" t="str">
        <f>"rendicontazione "&amp;IF(riepilogo!scelta="R","Ricerca",IF(riepilogo!scelta="I","Innovazione processi",""))&amp;" - elenco c)"</f>
        <v>rendicontazione  - elenco c)</v>
      </c>
    </row>
    <row r="3" spans="2:24" ht="24.75" customHeight="1" thickBot="1" thickTop="1">
      <c r="B3" s="36" t="s">
        <v>6</v>
      </c>
      <c r="C3" s="36"/>
      <c r="E3" s="59"/>
      <c r="H3" s="19"/>
      <c r="I3" s="164"/>
      <c r="M3" s="359"/>
      <c r="N3" s="362"/>
      <c r="O3" s="408"/>
      <c r="P3" s="338"/>
      <c r="Q3" s="338"/>
      <c r="R3" s="504"/>
      <c r="S3" s="338"/>
      <c r="T3" s="338"/>
      <c r="U3" s="340" t="s">
        <v>87</v>
      </c>
      <c r="V3" s="340"/>
      <c r="W3" s="340"/>
      <c r="X3" s="339"/>
    </row>
    <row r="4" spans="2:22" ht="11.25" customHeight="1" thickTop="1">
      <c r="B4" s="148"/>
      <c r="C4" s="148"/>
      <c r="E4" s="59"/>
      <c r="F4" s="39"/>
      <c r="H4" s="19"/>
      <c r="M4" s="359"/>
      <c r="N4" s="362"/>
      <c r="P4" s="243"/>
      <c r="S4" s="163"/>
      <c r="T4" s="275"/>
      <c r="U4" s="254"/>
      <c r="V4" s="186"/>
    </row>
    <row r="5" spans="2:22" ht="5.25" customHeight="1">
      <c r="B5" s="148"/>
      <c r="C5" s="148"/>
      <c r="E5" s="59"/>
      <c r="F5" s="39"/>
      <c r="H5" s="19"/>
      <c r="J5" s="159"/>
      <c r="K5" s="40"/>
      <c r="L5" s="499"/>
      <c r="M5" s="40"/>
      <c r="N5" s="40"/>
      <c r="P5" s="243"/>
      <c r="S5" s="163"/>
      <c r="T5" s="275"/>
      <c r="U5" s="254"/>
      <c r="V5" s="186"/>
    </row>
    <row r="6" spans="2:24" ht="33" customHeight="1">
      <c r="B6" s="653" t="s">
        <v>161</v>
      </c>
      <c r="C6" s="653"/>
      <c r="D6" s="653"/>
      <c r="E6" s="653"/>
      <c r="F6" s="653"/>
      <c r="G6" s="653"/>
      <c r="H6" s="653"/>
      <c r="I6" s="654"/>
      <c r="J6" s="41" t="s">
        <v>30</v>
      </c>
      <c r="K6" s="655" t="s">
        <v>86</v>
      </c>
      <c r="L6" s="656"/>
      <c r="M6" s="43" t="s">
        <v>82</v>
      </c>
      <c r="N6" s="388" t="s">
        <v>84</v>
      </c>
      <c r="O6" s="430"/>
      <c r="P6" s="158"/>
      <c r="Q6" s="651" t="s">
        <v>30</v>
      </c>
      <c r="R6" s="651"/>
      <c r="S6" s="651"/>
      <c r="T6" s="651" t="s">
        <v>86</v>
      </c>
      <c r="U6" s="651"/>
      <c r="V6" s="179" t="s">
        <v>82</v>
      </c>
      <c r="W6" s="179" t="s">
        <v>84</v>
      </c>
      <c r="X6" s="189" t="s">
        <v>59</v>
      </c>
    </row>
    <row r="7" spans="2:24" ht="18" customHeight="1">
      <c r="B7" s="199" t="s">
        <v>75</v>
      </c>
      <c r="C7" s="649">
        <f>IF(AND(percentuale&lt;&gt;"",N26),"ATTENZIONE! 
sono state selezionate entrambe le alternative","")</f>
      </c>
      <c r="D7" s="649"/>
      <c r="E7" s="649"/>
      <c r="F7" s="649"/>
      <c r="G7" s="649"/>
      <c r="H7" s="649"/>
      <c r="I7" s="650"/>
      <c r="J7" s="204"/>
      <c r="K7" s="657">
        <f>IF(percentuale="","",IF(percentuale&gt;20%,"% max 20%!",ROUND('ab)personale'!J31*percentuale,2)))</f>
      </c>
      <c r="L7" s="658"/>
      <c r="M7" s="160"/>
      <c r="N7" s="529">
        <f>IF(percentuale="","",K7-M7)</f>
      </c>
      <c r="O7" s="430"/>
      <c r="P7" s="247"/>
      <c r="Q7" s="652">
        <f>percentuale</f>
        <v>0</v>
      </c>
      <c r="R7" s="652"/>
      <c r="S7" s="652"/>
      <c r="T7" s="648">
        <f>K7</f>
      </c>
      <c r="U7" s="648"/>
      <c r="V7" s="146">
        <f>M7</f>
        <v>0</v>
      </c>
      <c r="W7" s="146">
        <f>IF(percentualeammessa&gt;0,T7-V7,0)</f>
        <v>0</v>
      </c>
      <c r="X7" s="448"/>
    </row>
    <row r="8" spans="2:22" ht="25.5" customHeight="1">
      <c r="B8" s="653" t="s">
        <v>160</v>
      </c>
      <c r="C8" s="653"/>
      <c r="D8" s="653"/>
      <c r="E8" s="653"/>
      <c r="F8" s="653"/>
      <c r="G8" s="653"/>
      <c r="H8" s="653"/>
      <c r="I8" s="653"/>
      <c r="J8" s="653"/>
      <c r="K8" s="40"/>
      <c r="L8" s="499"/>
      <c r="M8" s="40"/>
      <c r="N8" s="40"/>
      <c r="P8" s="243"/>
      <c r="S8" s="163"/>
      <c r="T8" s="275"/>
      <c r="U8" s="254"/>
      <c r="V8" s="186"/>
    </row>
    <row r="9" spans="4:22" ht="6" customHeight="1">
      <c r="D9" s="200"/>
      <c r="E9" s="200"/>
      <c r="F9" s="200"/>
      <c r="G9" s="355"/>
      <c r="H9" s="200"/>
      <c r="I9" s="200"/>
      <c r="J9" s="200"/>
      <c r="K9" s="154"/>
      <c r="L9" s="499"/>
      <c r="M9" s="154"/>
      <c r="N9" s="154"/>
      <c r="P9" s="244"/>
      <c r="S9" s="104"/>
      <c r="T9" s="274"/>
      <c r="V9" s="186"/>
    </row>
    <row r="10" spans="1:24" s="52" customFormat="1" ht="9.75" customHeight="1">
      <c r="A10" s="51"/>
      <c r="B10" s="670" t="s">
        <v>117</v>
      </c>
      <c r="C10" s="670" t="s">
        <v>116</v>
      </c>
      <c r="D10" s="667" t="s">
        <v>54</v>
      </c>
      <c r="E10" s="668"/>
      <c r="F10" s="669"/>
      <c r="G10" s="673" t="s">
        <v>133</v>
      </c>
      <c r="H10" s="674"/>
      <c r="I10" s="674"/>
      <c r="J10" s="675"/>
      <c r="K10" s="655" t="s">
        <v>136</v>
      </c>
      <c r="L10" s="659"/>
      <c r="M10" s="659"/>
      <c r="N10" s="656"/>
      <c r="O10" s="660" t="s">
        <v>99</v>
      </c>
      <c r="P10" s="666" t="s">
        <v>174</v>
      </c>
      <c r="Q10" s="662" t="s">
        <v>101</v>
      </c>
      <c r="R10" s="643" t="str">
        <f>L11</f>
        <v> R / S</v>
      </c>
      <c r="S10" s="664" t="s">
        <v>100</v>
      </c>
      <c r="T10" s="666" t="s">
        <v>174</v>
      </c>
      <c r="U10" s="617" t="s">
        <v>125</v>
      </c>
      <c r="V10" s="618"/>
      <c r="W10" s="642"/>
      <c r="X10" s="643" t="s">
        <v>59</v>
      </c>
    </row>
    <row r="11" spans="1:24" ht="29.25" customHeight="1">
      <c r="A11" s="29"/>
      <c r="B11" s="671"/>
      <c r="C11" s="671"/>
      <c r="D11" s="43" t="s">
        <v>55</v>
      </c>
      <c r="E11" s="31" t="s">
        <v>57</v>
      </c>
      <c r="F11" s="43" t="s">
        <v>111</v>
      </c>
      <c r="G11" s="351" t="s">
        <v>55</v>
      </c>
      <c r="H11" s="138" t="s">
        <v>134</v>
      </c>
      <c r="I11" s="138" t="s">
        <v>62</v>
      </c>
      <c r="J11" s="138" t="s">
        <v>135</v>
      </c>
      <c r="K11" s="240" t="s">
        <v>112</v>
      </c>
      <c r="L11" s="44" t="str">
        <f>IF(riepilogo!scelta="I"," P / O"," R / S")</f>
        <v> R / S</v>
      </c>
      <c r="M11" s="43" t="s">
        <v>82</v>
      </c>
      <c r="N11" s="388" t="s">
        <v>84</v>
      </c>
      <c r="O11" s="661"/>
      <c r="P11" s="666"/>
      <c r="Q11" s="663"/>
      <c r="R11" s="644"/>
      <c r="S11" s="665"/>
      <c r="T11" s="666"/>
      <c r="U11" s="260" t="s">
        <v>93</v>
      </c>
      <c r="V11" s="259" t="s">
        <v>82</v>
      </c>
      <c r="W11" s="259" t="s">
        <v>84</v>
      </c>
      <c r="X11" s="644"/>
    </row>
    <row r="12" spans="1:24" ht="18.75" customHeight="1">
      <c r="A12" s="29">
        <v>1</v>
      </c>
      <c r="B12" s="15"/>
      <c r="C12" s="15"/>
      <c r="D12" s="18"/>
      <c r="E12" s="17"/>
      <c r="F12" s="417"/>
      <c r="G12" s="348">
        <f aca="true" t="shared" si="0" ref="G12:G23">IF(H12&lt;&gt;"",A12&amp;"b","")</f>
      </c>
      <c r="H12" s="142"/>
      <c r="I12" s="386">
        <f>IF(F12=0,0,F12)</f>
        <v>0</v>
      </c>
      <c r="J12" s="530"/>
      <c r="K12" s="160"/>
      <c r="L12" s="64"/>
      <c r="M12" s="160"/>
      <c r="N12" s="427">
        <f>K12-M12</f>
        <v>0</v>
      </c>
      <c r="O12" s="411"/>
      <c r="P12" s="253"/>
      <c r="Q12" s="146">
        <f aca="true" t="shared" si="1" ref="Q12:Q23">N12</f>
        <v>0</v>
      </c>
      <c r="R12" s="531">
        <f>IF(L12="","",L12)</f>
      </c>
      <c r="S12" s="415"/>
      <c r="T12" s="272"/>
      <c r="U12" s="146">
        <f>K12</f>
        <v>0</v>
      </c>
      <c r="V12" s="146">
        <f>M12</f>
        <v>0</v>
      </c>
      <c r="W12" s="146">
        <f>U12-V12</f>
        <v>0</v>
      </c>
      <c r="X12" s="445"/>
    </row>
    <row r="13" spans="1:24" ht="18.75" customHeight="1">
      <c r="A13" s="29">
        <v>2</v>
      </c>
      <c r="B13" s="15"/>
      <c r="C13" s="15"/>
      <c r="D13" s="18"/>
      <c r="E13" s="17"/>
      <c r="F13" s="417"/>
      <c r="G13" s="348">
        <f t="shared" si="0"/>
      </c>
      <c r="H13" s="142"/>
      <c r="I13" s="386">
        <f aca="true" t="shared" si="2" ref="I13:I23">IF(F13=0,0,F13)</f>
        <v>0</v>
      </c>
      <c r="J13" s="530"/>
      <c r="K13" s="160"/>
      <c r="L13" s="64"/>
      <c r="M13" s="160"/>
      <c r="N13" s="427">
        <f aca="true" t="shared" si="3" ref="N13:N23">K13-M13</f>
        <v>0</v>
      </c>
      <c r="O13" s="411"/>
      <c r="P13" s="253"/>
      <c r="Q13" s="146">
        <f t="shared" si="1"/>
        <v>0</v>
      </c>
      <c r="R13" s="531">
        <f aca="true" t="shared" si="4" ref="R13:R23">IF(L13="","",L13)</f>
      </c>
      <c r="S13" s="415"/>
      <c r="T13" s="272"/>
      <c r="U13" s="146">
        <f aca="true" t="shared" si="5" ref="U13:U23">K13</f>
        <v>0</v>
      </c>
      <c r="V13" s="146">
        <f aca="true" t="shared" si="6" ref="V13:V23">M13</f>
        <v>0</v>
      </c>
      <c r="W13" s="146">
        <f aca="true" t="shared" si="7" ref="W13:W23">U13-V13</f>
        <v>0</v>
      </c>
      <c r="X13" s="445"/>
    </row>
    <row r="14" spans="1:24" ht="18.75" customHeight="1">
      <c r="A14" s="29">
        <v>3</v>
      </c>
      <c r="B14" s="15"/>
      <c r="C14" s="15"/>
      <c r="D14" s="18"/>
      <c r="E14" s="17"/>
      <c r="F14" s="417"/>
      <c r="G14" s="348">
        <f t="shared" si="0"/>
      </c>
      <c r="H14" s="142"/>
      <c r="I14" s="386">
        <f t="shared" si="2"/>
        <v>0</v>
      </c>
      <c r="J14" s="530"/>
      <c r="K14" s="160"/>
      <c r="L14" s="64"/>
      <c r="M14" s="160"/>
      <c r="N14" s="427">
        <f t="shared" si="3"/>
        <v>0</v>
      </c>
      <c r="O14" s="411"/>
      <c r="P14" s="253"/>
      <c r="Q14" s="146">
        <f t="shared" si="1"/>
        <v>0</v>
      </c>
      <c r="R14" s="531">
        <f t="shared" si="4"/>
      </c>
      <c r="S14" s="415"/>
      <c r="T14" s="272"/>
      <c r="U14" s="146">
        <f t="shared" si="5"/>
        <v>0</v>
      </c>
      <c r="V14" s="146">
        <f t="shared" si="6"/>
        <v>0</v>
      </c>
      <c r="W14" s="146">
        <f t="shared" si="7"/>
        <v>0</v>
      </c>
      <c r="X14" s="445"/>
    </row>
    <row r="15" spans="1:24" ht="18.75" customHeight="1">
      <c r="A15" s="29">
        <v>4</v>
      </c>
      <c r="B15" s="15"/>
      <c r="C15" s="15"/>
      <c r="D15" s="18"/>
      <c r="E15" s="17"/>
      <c r="F15" s="417"/>
      <c r="G15" s="348">
        <f t="shared" si="0"/>
      </c>
      <c r="H15" s="142"/>
      <c r="I15" s="386">
        <f t="shared" si="2"/>
        <v>0</v>
      </c>
      <c r="J15" s="530"/>
      <c r="K15" s="160"/>
      <c r="L15" s="64"/>
      <c r="M15" s="160"/>
      <c r="N15" s="427">
        <f t="shared" si="3"/>
        <v>0</v>
      </c>
      <c r="O15" s="411"/>
      <c r="P15" s="253"/>
      <c r="Q15" s="146">
        <f t="shared" si="1"/>
        <v>0</v>
      </c>
      <c r="R15" s="531">
        <f t="shared" si="4"/>
      </c>
      <c r="S15" s="415"/>
      <c r="T15" s="272"/>
      <c r="U15" s="146">
        <f t="shared" si="5"/>
        <v>0</v>
      </c>
      <c r="V15" s="146">
        <f t="shared" si="6"/>
        <v>0</v>
      </c>
      <c r="W15" s="146">
        <f t="shared" si="7"/>
        <v>0</v>
      </c>
      <c r="X15" s="445"/>
    </row>
    <row r="16" spans="1:24" ht="18.75" customHeight="1">
      <c r="A16" s="29">
        <v>5</v>
      </c>
      <c r="B16" s="15"/>
      <c r="C16" s="15"/>
      <c r="D16" s="18"/>
      <c r="E16" s="17"/>
      <c r="F16" s="417"/>
      <c r="G16" s="348">
        <f t="shared" si="0"/>
      </c>
      <c r="H16" s="142"/>
      <c r="I16" s="386">
        <f t="shared" si="2"/>
        <v>0</v>
      </c>
      <c r="J16" s="530"/>
      <c r="K16" s="160"/>
      <c r="L16" s="64"/>
      <c r="M16" s="160"/>
      <c r="N16" s="427">
        <f t="shared" si="3"/>
        <v>0</v>
      </c>
      <c r="O16" s="411"/>
      <c r="P16" s="253"/>
      <c r="Q16" s="146">
        <f t="shared" si="1"/>
        <v>0</v>
      </c>
      <c r="R16" s="531">
        <f t="shared" si="4"/>
      </c>
      <c r="S16" s="415"/>
      <c r="T16" s="272"/>
      <c r="U16" s="146">
        <f t="shared" si="5"/>
        <v>0</v>
      </c>
      <c r="V16" s="146">
        <f t="shared" si="6"/>
        <v>0</v>
      </c>
      <c r="W16" s="146">
        <f t="shared" si="7"/>
        <v>0</v>
      </c>
      <c r="X16" s="445"/>
    </row>
    <row r="17" spans="1:24" ht="18.75" customHeight="1">
      <c r="A17" s="29">
        <v>6</v>
      </c>
      <c r="B17" s="15"/>
      <c r="C17" s="15"/>
      <c r="D17" s="18"/>
      <c r="E17" s="17"/>
      <c r="F17" s="417"/>
      <c r="G17" s="348">
        <f t="shared" si="0"/>
      </c>
      <c r="H17" s="142"/>
      <c r="I17" s="386">
        <f t="shared" si="2"/>
        <v>0</v>
      </c>
      <c r="J17" s="530"/>
      <c r="K17" s="160"/>
      <c r="L17" s="64"/>
      <c r="M17" s="160"/>
      <c r="N17" s="427">
        <f t="shared" si="3"/>
        <v>0</v>
      </c>
      <c r="O17" s="411"/>
      <c r="P17" s="253"/>
      <c r="Q17" s="146">
        <f t="shared" si="1"/>
        <v>0</v>
      </c>
      <c r="R17" s="531">
        <f t="shared" si="4"/>
      </c>
      <c r="S17" s="415"/>
      <c r="T17" s="272"/>
      <c r="U17" s="146">
        <f t="shared" si="5"/>
        <v>0</v>
      </c>
      <c r="V17" s="146">
        <f t="shared" si="6"/>
        <v>0</v>
      </c>
      <c r="W17" s="146">
        <f t="shared" si="7"/>
        <v>0</v>
      </c>
      <c r="X17" s="445"/>
    </row>
    <row r="18" spans="1:24" ht="18.75" customHeight="1">
      <c r="A18" s="29">
        <v>7</v>
      </c>
      <c r="B18" s="15"/>
      <c r="C18" s="15"/>
      <c r="D18" s="18"/>
      <c r="E18" s="17"/>
      <c r="F18" s="417"/>
      <c r="G18" s="348">
        <f t="shared" si="0"/>
      </c>
      <c r="H18" s="142"/>
      <c r="I18" s="386">
        <f t="shared" si="2"/>
        <v>0</v>
      </c>
      <c r="J18" s="530"/>
      <c r="K18" s="160"/>
      <c r="L18" s="64"/>
      <c r="M18" s="160"/>
      <c r="N18" s="427">
        <f t="shared" si="3"/>
        <v>0</v>
      </c>
      <c r="O18" s="411"/>
      <c r="P18" s="253"/>
      <c r="Q18" s="146">
        <f t="shared" si="1"/>
        <v>0</v>
      </c>
      <c r="R18" s="531">
        <f t="shared" si="4"/>
      </c>
      <c r="S18" s="415"/>
      <c r="T18" s="272"/>
      <c r="U18" s="146">
        <f t="shared" si="5"/>
        <v>0</v>
      </c>
      <c r="V18" s="146">
        <f t="shared" si="6"/>
        <v>0</v>
      </c>
      <c r="W18" s="146">
        <f t="shared" si="7"/>
        <v>0</v>
      </c>
      <c r="X18" s="445"/>
    </row>
    <row r="19" spans="1:24" ht="18.75" customHeight="1">
      <c r="A19" s="29">
        <v>8</v>
      </c>
      <c r="B19" s="15"/>
      <c r="C19" s="15"/>
      <c r="D19" s="18"/>
      <c r="E19" s="17"/>
      <c r="F19" s="417"/>
      <c r="G19" s="348">
        <f t="shared" si="0"/>
      </c>
      <c r="H19" s="142"/>
      <c r="I19" s="386">
        <f t="shared" si="2"/>
        <v>0</v>
      </c>
      <c r="J19" s="530"/>
      <c r="K19" s="160"/>
      <c r="L19" s="64"/>
      <c r="M19" s="160"/>
      <c r="N19" s="427">
        <f t="shared" si="3"/>
        <v>0</v>
      </c>
      <c r="O19" s="411"/>
      <c r="P19" s="253"/>
      <c r="Q19" s="146">
        <f t="shared" si="1"/>
        <v>0</v>
      </c>
      <c r="R19" s="531">
        <f t="shared" si="4"/>
      </c>
      <c r="S19" s="415"/>
      <c r="T19" s="272"/>
      <c r="U19" s="146">
        <f t="shared" si="5"/>
        <v>0</v>
      </c>
      <c r="V19" s="146">
        <f t="shared" si="6"/>
        <v>0</v>
      </c>
      <c r="W19" s="146">
        <f t="shared" si="7"/>
        <v>0</v>
      </c>
      <c r="X19" s="445"/>
    </row>
    <row r="20" spans="1:24" ht="18.75" customHeight="1">
      <c r="A20" s="29">
        <v>9</v>
      </c>
      <c r="B20" s="15"/>
      <c r="C20" s="15"/>
      <c r="D20" s="18"/>
      <c r="E20" s="17"/>
      <c r="F20" s="417"/>
      <c r="G20" s="348">
        <f t="shared" si="0"/>
      </c>
      <c r="H20" s="142"/>
      <c r="I20" s="386">
        <f t="shared" si="2"/>
        <v>0</v>
      </c>
      <c r="J20" s="530"/>
      <c r="K20" s="160"/>
      <c r="L20" s="64"/>
      <c r="M20" s="160"/>
      <c r="N20" s="427">
        <f t="shared" si="3"/>
        <v>0</v>
      </c>
      <c r="O20" s="411"/>
      <c r="P20" s="253"/>
      <c r="Q20" s="146">
        <f t="shared" si="1"/>
        <v>0</v>
      </c>
      <c r="R20" s="531">
        <f t="shared" si="4"/>
      </c>
      <c r="S20" s="415"/>
      <c r="T20" s="272"/>
      <c r="U20" s="146">
        <f t="shared" si="5"/>
        <v>0</v>
      </c>
      <c r="V20" s="146">
        <f t="shared" si="6"/>
        <v>0</v>
      </c>
      <c r="W20" s="146">
        <f t="shared" si="7"/>
        <v>0</v>
      </c>
      <c r="X20" s="445"/>
    </row>
    <row r="21" spans="1:24" ht="18.75" customHeight="1">
      <c r="A21" s="29">
        <v>10</v>
      </c>
      <c r="B21" s="15"/>
      <c r="C21" s="15"/>
      <c r="D21" s="18"/>
      <c r="E21" s="17"/>
      <c r="F21" s="417"/>
      <c r="G21" s="348">
        <f t="shared" si="0"/>
      </c>
      <c r="H21" s="142"/>
      <c r="I21" s="386">
        <f t="shared" si="2"/>
        <v>0</v>
      </c>
      <c r="J21" s="530"/>
      <c r="K21" s="160"/>
      <c r="L21" s="64"/>
      <c r="M21" s="160"/>
      <c r="N21" s="427">
        <f t="shared" si="3"/>
        <v>0</v>
      </c>
      <c r="O21" s="411"/>
      <c r="P21" s="253"/>
      <c r="Q21" s="146">
        <f t="shared" si="1"/>
        <v>0</v>
      </c>
      <c r="R21" s="531">
        <f t="shared" si="4"/>
      </c>
      <c r="S21" s="415"/>
      <c r="T21" s="272"/>
      <c r="U21" s="146">
        <f t="shared" si="5"/>
        <v>0</v>
      </c>
      <c r="V21" s="146">
        <f t="shared" si="6"/>
        <v>0</v>
      </c>
      <c r="W21" s="146">
        <f t="shared" si="7"/>
        <v>0</v>
      </c>
      <c r="X21" s="445"/>
    </row>
    <row r="22" spans="1:24" ht="18.75" customHeight="1">
      <c r="A22" s="29">
        <v>11</v>
      </c>
      <c r="B22" s="15"/>
      <c r="C22" s="15"/>
      <c r="D22" s="18"/>
      <c r="E22" s="17"/>
      <c r="F22" s="417"/>
      <c r="G22" s="348">
        <f>IF(H22&lt;&gt;"",A22&amp;"b","")</f>
      </c>
      <c r="H22" s="142"/>
      <c r="I22" s="386">
        <f>IF(F22=0,0,F22)</f>
        <v>0</v>
      </c>
      <c r="J22" s="530"/>
      <c r="K22" s="160"/>
      <c r="L22" s="64"/>
      <c r="M22" s="160"/>
      <c r="N22" s="427">
        <f>K22-M22</f>
        <v>0</v>
      </c>
      <c r="O22" s="411"/>
      <c r="P22" s="253"/>
      <c r="Q22" s="146">
        <f>N22</f>
        <v>0</v>
      </c>
      <c r="R22" s="531">
        <f>IF(L22="","",L22)</f>
      </c>
      <c r="S22" s="415"/>
      <c r="T22" s="272"/>
      <c r="U22" s="146">
        <f>K22</f>
        <v>0</v>
      </c>
      <c r="V22" s="146">
        <f>M22</f>
        <v>0</v>
      </c>
      <c r="W22" s="146">
        <f>U22-V22</f>
        <v>0</v>
      </c>
      <c r="X22" s="445"/>
    </row>
    <row r="23" spans="1:24" ht="18.75" customHeight="1">
      <c r="A23" s="29">
        <v>12</v>
      </c>
      <c r="B23" s="15"/>
      <c r="C23" s="15"/>
      <c r="D23" s="18"/>
      <c r="E23" s="17"/>
      <c r="F23" s="417"/>
      <c r="G23" s="348">
        <f t="shared" si="0"/>
      </c>
      <c r="H23" s="142"/>
      <c r="I23" s="386">
        <f t="shared" si="2"/>
        <v>0</v>
      </c>
      <c r="J23" s="530"/>
      <c r="K23" s="160"/>
      <c r="L23" s="64"/>
      <c r="M23" s="160"/>
      <c r="N23" s="427">
        <f t="shared" si="3"/>
        <v>0</v>
      </c>
      <c r="O23" s="411"/>
      <c r="P23" s="253"/>
      <c r="Q23" s="146">
        <f t="shared" si="1"/>
        <v>0</v>
      </c>
      <c r="R23" s="531">
        <f t="shared" si="4"/>
      </c>
      <c r="S23" s="415"/>
      <c r="T23" s="272"/>
      <c r="U23" s="146">
        <f t="shared" si="5"/>
        <v>0</v>
      </c>
      <c r="V23" s="146">
        <f t="shared" si="6"/>
        <v>0</v>
      </c>
      <c r="W23" s="146">
        <f t="shared" si="7"/>
        <v>0</v>
      </c>
      <c r="X23" s="445"/>
    </row>
    <row r="24" spans="1:24" s="56" customFormat="1" ht="12" customHeight="1">
      <c r="A24" s="532" t="s">
        <v>18</v>
      </c>
      <c r="B24" s="45" t="str">
        <f>"TOTALE "&amp;IF(riepilogo!scelta="I","PROCESSI","RICERCA")</f>
        <v>TOTALE RICERCA</v>
      </c>
      <c r="C24" s="122"/>
      <c r="D24" s="594">
        <f>COUNTA(D12:D23)</f>
        <v>0</v>
      </c>
      <c r="G24" s="356"/>
      <c r="I24" s="62"/>
      <c r="J24" s="156"/>
      <c r="K24" s="55">
        <f>IF($F$12=0,0,IF(riepilogo!scelta="I",SUMIF($L$12:$L$23,"P",K$12:K$23),SUMIF($L$12:$L$23,"R",K$12:K$23)))</f>
        <v>0</v>
      </c>
      <c r="L24" s="500"/>
      <c r="M24" s="55">
        <f>IF($F$12=0,0,IF(riepilogo!scelta="I",SUMIF($L$12:$L$23,"P",M$12:M$23),SUMIF($L$12:$L$23,"R",M$12:M$23)))</f>
        <v>0</v>
      </c>
      <c r="N24" s="406">
        <f>IF($F$12=0,0,IF(riepilogo!scelta="I",SUMIF($L$12:$L$23,"P",N$12:N$23),SUMIF($L$12:$L$23,"R",N$12:N$23)))</f>
        <v>0</v>
      </c>
      <c r="O24" s="606">
        <f>COUNTIF(O12:O23,"=x")</f>
        <v>0</v>
      </c>
      <c r="P24" s="605" t="e">
        <f>ROUNDDOWN(O24/D24,4)</f>
        <v>#DIV/0!</v>
      </c>
      <c r="Q24" s="153">
        <f>IF($F$12=0,0,IF(riepilogo!scelta="I",SUMIF($R$12:$R$23,"P",Q$12:Q$23),SUMIF($R$12:$R$23,"R",Q$12:Q$23)))</f>
        <v>0</v>
      </c>
      <c r="R24" s="506"/>
      <c r="S24" s="490"/>
      <c r="T24" s="486"/>
      <c r="U24" s="153">
        <f>IF($F$12=0,0,IF(riepilogo!scelta="I",SUMIF($R$12:$R$23,"P",U$12:U$23),SUMIF($R$12:$R$23,"R",U$12:U$23)))</f>
        <v>0</v>
      </c>
      <c r="V24" s="153">
        <f>IF($F$12=0,0,IF(riepilogo!scelta="I",SUMIF($R$12:$R$23,"P",V$12:V$23),SUMIF($R$12:$R$23,"R",V$12:V$23)))</f>
        <v>0</v>
      </c>
      <c r="W24" s="153">
        <f>IF($F$12=0,0,IF(riepilogo!scelta="I",SUMIF($R$12:$R$23,"P",W$12:W$23),SUMIF($R$12:$R$23,"R",W$12:W$23)))</f>
        <v>0</v>
      </c>
      <c r="X24" s="447"/>
    </row>
    <row r="25" spans="1:24" s="56" customFormat="1" ht="12" customHeight="1">
      <c r="A25" s="29"/>
      <c r="B25" s="45" t="str">
        <f>"TOTALE "&amp;IF(riepilogo!scelta="I","ORGANIZZAZIONE","SVILUPPO")</f>
        <v>TOTALE SVILUPPO</v>
      </c>
      <c r="C25" s="122"/>
      <c r="D25" s="53"/>
      <c r="G25" s="356"/>
      <c r="I25" s="62"/>
      <c r="J25" s="156"/>
      <c r="K25" s="55">
        <f>IF($F$12=0,0,IF(riepilogo!scelta="I",SUMIF($L$12:$L$23,"O",K$12:K$23),SUMIF($L$12:$L$23,"S",K$12:K$23)))</f>
        <v>0</v>
      </c>
      <c r="L25" s="513"/>
      <c r="M25" s="55">
        <f>IF($F$12=0,0,IF(riepilogo!scelta="I",SUMIF($L$12:$L$23,"O",M$12:M$23),SUMIF($L$12:$L$23,"S",M$12:M$23)))</f>
        <v>0</v>
      </c>
      <c r="N25" s="406">
        <f>IF($F$12=0,0,IF(riepilogo!scelta="I",SUMIF($L$12:$L$23,"O",N$12:N$23),SUMIF($L$12:$L$23,"S",N$12:N$23)))</f>
        <v>0</v>
      </c>
      <c r="O25" s="410">
        <f>IF(AND(N24=0,N25),0,SUMIF(O12:O23,"x",N12:N23))</f>
        <v>0</v>
      </c>
      <c r="P25" s="605" t="e">
        <f>ROUNDDOWN(O25/N26,4)</f>
        <v>#DIV/0!</v>
      </c>
      <c r="Q25" s="153">
        <f>IF($F$12=0,0,IF(riepilogo!scelta="I",SUMIF($R$12:$R$23,"O",Q$12:Q$23),SUMIF($R$12:$R$23,"S",Q$12:Q$23)))</f>
        <v>0</v>
      </c>
      <c r="R25" s="511"/>
      <c r="S25" s="269">
        <f>IF(AND(Q24=0,Q25=0),0,SUMIF(S12:S23,"x",Q12:Q23))</f>
        <v>0</v>
      </c>
      <c r="T25" s="605" t="e">
        <f>ROUNDDOWN(S25/Q26,4)</f>
        <v>#DIV/0!</v>
      </c>
      <c r="U25" s="153">
        <f>IF($F$12=0,0,IF(riepilogo!scelta="I",SUMIF($R$12:$R$23,"O",U$12:U$23),SUMIF($R$12:$R$23,"S",U$12:U$23)))</f>
        <v>0</v>
      </c>
      <c r="V25" s="153">
        <f>IF($F$12=0,0,IF(riepilogo!scelta="I",SUMIF($R$12:$R$23,"O",V$12:V$23),SUMIF($R$12:$R$23,"S",V$12:V$23)))</f>
        <v>0</v>
      </c>
      <c r="W25" s="153">
        <f>IF($F$12=0,0,IF(riepilogo!scelta="I",SUMIF($R$12:$R$23,"O",W$12:W$23),SUMIF($R$12:$R$23,"S",W$12:W$23)))</f>
        <v>0</v>
      </c>
      <c r="X25" s="447"/>
    </row>
    <row r="26" spans="1:23" s="570" customFormat="1" ht="5.25" customHeight="1">
      <c r="A26" s="207"/>
      <c r="B26" s="573"/>
      <c r="C26" s="573"/>
      <c r="D26" s="551"/>
      <c r="E26" s="574"/>
      <c r="F26" s="575"/>
      <c r="G26" s="576"/>
      <c r="H26" s="575"/>
      <c r="I26" s="574"/>
      <c r="J26" s="577"/>
      <c r="K26" s="558">
        <f>SUM(K24:K25)</f>
        <v>0</v>
      </c>
      <c r="L26" s="578"/>
      <c r="M26" s="558">
        <f>SUM(M24:M25)</f>
        <v>0</v>
      </c>
      <c r="N26" s="558">
        <f>SUM(N24:N25)</f>
        <v>0</v>
      </c>
      <c r="O26" s="579"/>
      <c r="P26" s="558"/>
      <c r="Q26" s="558">
        <f>SUM(Q24:Q25)</f>
        <v>0</v>
      </c>
      <c r="R26" s="578"/>
      <c r="S26" s="558"/>
      <c r="T26" s="558"/>
      <c r="U26" s="558">
        <f>SUM(U24:U25)</f>
        <v>0</v>
      </c>
      <c r="V26" s="558">
        <f>SUM(V24:V25)</f>
        <v>0</v>
      </c>
      <c r="W26" s="558">
        <f>SUM(W24:W25)</f>
        <v>0</v>
      </c>
    </row>
    <row r="27" spans="1:23" s="198" customFormat="1" ht="12" customHeight="1">
      <c r="A27" s="42"/>
      <c r="B27" s="192"/>
      <c r="C27" s="192"/>
      <c r="D27" s="193"/>
      <c r="E27" s="143"/>
      <c r="F27" s="178"/>
      <c r="H27" s="157"/>
      <c r="I27" s="143"/>
      <c r="J27" s="194"/>
      <c r="K27" s="195"/>
      <c r="L27" s="507"/>
      <c r="M27" s="514" t="s">
        <v>151</v>
      </c>
      <c r="N27" s="516" t="e">
        <f>IF(percentuale&lt;&gt;"","vedi forfait",ROUNDDOWN(N24/'ab)personale'!J29,4))</f>
        <v>#DIV/0!</v>
      </c>
      <c r="O27" s="431"/>
      <c r="P27" s="195"/>
      <c r="Q27" s="515" t="e">
        <f>IF(percentuale&lt;&gt;"","vedi forfait",ROUNDDOWN(Q24/'ab)personale'!O29,4))</f>
        <v>#DIV/0!</v>
      </c>
      <c r="R27" s="510"/>
      <c r="S27" s="196"/>
      <c r="T27" s="196"/>
      <c r="U27" s="515" t="e">
        <f>IF(percentuale&lt;&gt;"","vedi forfait",ROUNDDOWN(U24/'ab)personale'!V29,4))</f>
        <v>#DIV/0!</v>
      </c>
      <c r="V27" s="225"/>
      <c r="W27" s="515" t="e">
        <f>IF(percentuale&lt;&gt;"","vedi forfait",ROUNDDOWN(W24/'ab)personale'!X29,4))</f>
        <v>#DIV/0!</v>
      </c>
    </row>
    <row r="28" spans="2:23" ht="13.5" customHeight="1">
      <c r="B28" s="672" t="s">
        <v>155</v>
      </c>
      <c r="C28" s="672"/>
      <c r="D28" s="672"/>
      <c r="E28" s="672"/>
      <c r="F28" s="672"/>
      <c r="G28" s="672"/>
      <c r="H28" s="672"/>
      <c r="I28" s="139"/>
      <c r="J28" s="139"/>
      <c r="K28" s="512"/>
      <c r="L28" s="501"/>
      <c r="M28" s="514" t="s">
        <v>152</v>
      </c>
      <c r="N28" s="516" t="e">
        <f>IF(percentuale&lt;&gt;"","vedi forfait",ROUNDDOWN(N25/'ab)personale'!J30,4))</f>
        <v>#DIV/0!</v>
      </c>
      <c r="P28" s="245"/>
      <c r="Q28" s="515" t="e">
        <f>IF(percentuale&lt;&gt;"","vedi forfait",ROUNDDOWN(Q25/'ab)personale'!O30,4))</f>
        <v>#DIV/0!</v>
      </c>
      <c r="U28" s="515" t="e">
        <f>IF(percentuale&lt;&gt;"","vedi forfait",ROUNDDOWN(U25/'ab)personale'!V30,4))</f>
        <v>#DIV/0!</v>
      </c>
      <c r="V28" s="512"/>
      <c r="W28" s="515" t="e">
        <f>IF(percentuale&lt;&gt;"","vedi forfait",ROUNDDOWN(W25/'ab)personale'!X30,4))</f>
        <v>#DIV/0!</v>
      </c>
    </row>
    <row r="29" spans="2:8" ht="27" customHeight="1">
      <c r="B29" s="672"/>
      <c r="C29" s="672"/>
      <c r="D29" s="672"/>
      <c r="E29" s="672"/>
      <c r="F29" s="672"/>
      <c r="G29" s="672"/>
      <c r="H29" s="672"/>
    </row>
  </sheetData>
  <sheetProtection password="CC84" sheet="1" objects="1" scenarios="1" formatColumns="0" formatRows="0"/>
  <mergeCells count="23">
    <mergeCell ref="D10:F10"/>
    <mergeCell ref="C10:C11"/>
    <mergeCell ref="B28:H29"/>
    <mergeCell ref="B8:J8"/>
    <mergeCell ref="B10:B11"/>
    <mergeCell ref="G10:J10"/>
    <mergeCell ref="X10:X11"/>
    <mergeCell ref="K10:N10"/>
    <mergeCell ref="O10:O11"/>
    <mergeCell ref="Q10:Q11"/>
    <mergeCell ref="S10:S11"/>
    <mergeCell ref="R10:R11"/>
    <mergeCell ref="U10:W10"/>
    <mergeCell ref="P10:P11"/>
    <mergeCell ref="T10:T11"/>
    <mergeCell ref="T7:U7"/>
    <mergeCell ref="C7:I7"/>
    <mergeCell ref="Q6:S6"/>
    <mergeCell ref="Q7:S7"/>
    <mergeCell ref="B6:I6"/>
    <mergeCell ref="T6:U6"/>
    <mergeCell ref="K6:L6"/>
    <mergeCell ref="K7:L7"/>
  </mergeCells>
  <conditionalFormatting sqref="S12:S23">
    <cfRule type="cellIs" priority="1" dxfId="2" operator="notEqual" stopIfTrue="1">
      <formula>O12</formula>
    </cfRule>
  </conditionalFormatting>
  <conditionalFormatting sqref="E12:E23">
    <cfRule type="cellIs" priority="2" dxfId="2" operator="lessThan" stopIfTrue="1">
      <formula>$D$1</formula>
    </cfRule>
    <cfRule type="cellIs" priority="3" dxfId="2" operator="greaterThan" stopIfTrue="1">
      <formula>$D$2</formula>
    </cfRule>
  </conditionalFormatting>
  <conditionalFormatting sqref="K7">
    <cfRule type="cellIs" priority="4" dxfId="2" operator="equal" stopIfTrue="1">
      <formula>"% max 20%!"</formula>
    </cfRule>
  </conditionalFormatting>
  <conditionalFormatting sqref="L12:L23 R12:R23">
    <cfRule type="cellIs" priority="5" dxfId="0" operator="equal" stopIfTrue="1">
      <formula>"S"</formula>
    </cfRule>
    <cfRule type="cellIs" priority="6" dxfId="1" operator="equal" stopIfTrue="1">
      <formula>"O"</formula>
    </cfRule>
  </conditionalFormatting>
  <dataValidations count="1">
    <dataValidation type="list" allowBlank="1" showInputMessage="1" showErrorMessage="1" sqref="H12:H23">
      <formula1>tipopagamento</formula1>
    </dataValidation>
  </dataValidations>
  <printOptions/>
  <pageMargins left="0.1968503937007874" right="0.15748031496062992" top="0.3937007874015748" bottom="0.3937007874015748" header="0.31496062992125984" footer="0.3937007874015748"/>
  <pageSetup fitToHeight="100" fitToWidth="1" horizontalDpi="600" verticalDpi="600" orientation="landscape" paperSize="9" r:id="rId1"/>
  <headerFooter alignWithMargins="0">
    <oddFooter>&amp;R&amp;"Verdana,Normale"&amp;8&amp;P</oddFooter>
  </headerFooter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9">
    <tabColor indexed="50"/>
    <pageSetUpPr fitToPage="1"/>
  </sheetPr>
  <dimension ref="A1:X29"/>
  <sheetViews>
    <sheetView workbookViewId="0" topLeftCell="A1">
      <selection activeCell="B3" sqref="B3"/>
    </sheetView>
  </sheetViews>
  <sheetFormatPr defaultColWidth="9.140625" defaultRowHeight="12.75"/>
  <cols>
    <col min="1" max="1" width="3.140625" style="478" bestFit="1" customWidth="1"/>
    <col min="2" max="2" width="25.00390625" style="19" customWidth="1"/>
    <col min="3" max="3" width="24.57421875" style="19" customWidth="1"/>
    <col min="4" max="4" width="6.8515625" style="23" customWidth="1"/>
    <col min="5" max="5" width="6.421875" style="27" customWidth="1"/>
    <col min="6" max="6" width="10.8515625" style="19" customWidth="1"/>
    <col min="7" max="7" width="4.421875" style="350" customWidth="1"/>
    <col min="8" max="8" width="8.8515625" style="140" customWidth="1"/>
    <col min="9" max="9" width="10.8515625" style="27" customWidth="1"/>
    <col min="10" max="10" width="9.28125" style="534" customWidth="1"/>
    <col min="11" max="11" width="11.28125" style="19" customWidth="1"/>
    <col min="12" max="12" width="2.57421875" style="58" customWidth="1"/>
    <col min="13" max="13" width="10.8515625" style="246" customWidth="1"/>
    <col min="14" max="14" width="11.140625" style="19" customWidth="1"/>
    <col min="15" max="15" width="4.8515625" style="409" hidden="1" customWidth="1"/>
    <col min="16" max="16" width="5.28125" style="270" hidden="1" customWidth="1"/>
    <col min="17" max="17" width="11.421875" style="108" hidden="1" customWidth="1"/>
    <col min="18" max="18" width="1.7109375" style="502" hidden="1" customWidth="1"/>
    <col min="19" max="19" width="2.28125" style="262" hidden="1" customWidth="1"/>
    <col min="20" max="20" width="5.57421875" style="270" hidden="1" customWidth="1"/>
    <col min="21" max="23" width="10.8515625" style="147" hidden="1" customWidth="1"/>
    <col min="24" max="24" width="44.28125" style="180" hidden="1" customWidth="1"/>
    <col min="25" max="25" width="9.140625" style="19" customWidth="1"/>
    <col min="26" max="26" width="9.421875" style="19" customWidth="1"/>
    <col min="27" max="16384" width="9.140625" style="19" customWidth="1"/>
  </cols>
  <sheetData>
    <row r="1" spans="1:24" ht="17.25" customHeight="1">
      <c r="A1" s="477"/>
      <c r="B1" s="72" t="s">
        <v>32</v>
      </c>
      <c r="C1" s="72"/>
      <c r="D1" s="165">
        <f>datainizioprogetto</f>
        <v>0</v>
      </c>
      <c r="F1" s="48"/>
      <c r="G1" s="349"/>
      <c r="H1" s="141"/>
      <c r="M1" s="242"/>
      <c r="N1" s="49" t="s">
        <v>11</v>
      </c>
      <c r="O1" s="403" t="s">
        <v>124</v>
      </c>
      <c r="U1" s="347"/>
      <c r="V1" s="347"/>
      <c r="W1" s="347"/>
      <c r="X1" s="49" t="s">
        <v>11</v>
      </c>
    </row>
    <row r="2" spans="1:24" ht="17.25" customHeight="1" thickBot="1">
      <c r="A2" s="477"/>
      <c r="D2" s="165">
        <f>datafineprogetto</f>
        <v>0</v>
      </c>
      <c r="F2" s="48"/>
      <c r="G2" s="349"/>
      <c r="H2" s="141"/>
      <c r="M2" s="97"/>
      <c r="N2" s="50" t="s">
        <v>146</v>
      </c>
      <c r="O2" s="407"/>
      <c r="Q2" s="264"/>
      <c r="R2" s="503"/>
      <c r="S2" s="261"/>
      <c r="T2" s="271"/>
      <c r="U2" s="145"/>
      <c r="V2" s="145"/>
      <c r="W2" s="145"/>
      <c r="X2" s="50" t="str">
        <f>"rendicontazione "&amp;IF(riepilogo!scelta="R","Ricerca",IF(riepilogo!scelta="I","Innovazione processi",""))&amp;" - elenco d)"</f>
        <v>rendicontazione  - elenco d)</v>
      </c>
    </row>
    <row r="3" spans="2:24" ht="24.75" customHeight="1" thickBot="1" thickTop="1">
      <c r="B3" s="46" t="s">
        <v>7</v>
      </c>
      <c r="C3" s="46"/>
      <c r="E3" s="59"/>
      <c r="H3" s="19"/>
      <c r="I3" s="164"/>
      <c r="M3" s="360"/>
      <c r="N3" s="362"/>
      <c r="O3" s="408"/>
      <c r="P3" s="338"/>
      <c r="Q3" s="338"/>
      <c r="R3" s="504"/>
      <c r="S3" s="338"/>
      <c r="T3" s="338"/>
      <c r="U3" s="340" t="s">
        <v>87</v>
      </c>
      <c r="V3" s="340"/>
      <c r="W3" s="340"/>
      <c r="X3" s="339"/>
    </row>
    <row r="4" spans="2:24" ht="11.25" customHeight="1" thickTop="1">
      <c r="B4" s="148"/>
      <c r="C4" s="148"/>
      <c r="E4" s="59"/>
      <c r="F4" s="39"/>
      <c r="H4" s="19"/>
      <c r="M4" s="361"/>
      <c r="N4" s="362"/>
      <c r="U4" s="265"/>
      <c r="V4" s="265"/>
      <c r="W4" s="265"/>
      <c r="X4" s="266"/>
    </row>
    <row r="5" spans="2:24" ht="6.75" customHeight="1">
      <c r="B5" s="48"/>
      <c r="C5" s="48"/>
      <c r="E5" s="59"/>
      <c r="F5" s="39"/>
      <c r="H5" s="19"/>
      <c r="K5" s="154"/>
      <c r="L5" s="499"/>
      <c r="M5" s="244"/>
      <c r="N5" s="154"/>
      <c r="U5" s="267"/>
      <c r="V5" s="267"/>
      <c r="W5" s="267"/>
      <c r="X5" s="187"/>
    </row>
    <row r="6" spans="1:24" s="52" customFormat="1" ht="9.75" customHeight="1">
      <c r="A6" s="479"/>
      <c r="B6" s="670" t="s">
        <v>109</v>
      </c>
      <c r="C6" s="670" t="s">
        <v>110</v>
      </c>
      <c r="D6" s="667" t="s">
        <v>54</v>
      </c>
      <c r="E6" s="668"/>
      <c r="F6" s="669"/>
      <c r="G6" s="673" t="s">
        <v>133</v>
      </c>
      <c r="H6" s="674"/>
      <c r="I6" s="674"/>
      <c r="J6" s="675"/>
      <c r="K6" s="655" t="s">
        <v>136</v>
      </c>
      <c r="L6" s="659"/>
      <c r="M6" s="659"/>
      <c r="N6" s="656"/>
      <c r="O6" s="660" t="s">
        <v>99</v>
      </c>
      <c r="P6" s="666" t="s">
        <v>174</v>
      </c>
      <c r="Q6" s="662" t="s">
        <v>101</v>
      </c>
      <c r="R6" s="643" t="str">
        <f>L7</f>
        <v> R / S</v>
      </c>
      <c r="S6" s="664" t="s">
        <v>100</v>
      </c>
      <c r="T6" s="666" t="s">
        <v>174</v>
      </c>
      <c r="U6" s="617" t="s">
        <v>125</v>
      </c>
      <c r="V6" s="618"/>
      <c r="W6" s="642"/>
      <c r="X6" s="676" t="s">
        <v>59</v>
      </c>
    </row>
    <row r="7" spans="1:24" ht="30.75" customHeight="1">
      <c r="A7" s="480"/>
      <c r="B7" s="671"/>
      <c r="C7" s="671"/>
      <c r="D7" s="43" t="s">
        <v>55</v>
      </c>
      <c r="E7" s="31" t="s">
        <v>57</v>
      </c>
      <c r="F7" s="43" t="s">
        <v>111</v>
      </c>
      <c r="G7" s="351" t="s">
        <v>55</v>
      </c>
      <c r="H7" s="138" t="s">
        <v>134</v>
      </c>
      <c r="I7" s="138" t="s">
        <v>62</v>
      </c>
      <c r="J7" s="138" t="s">
        <v>135</v>
      </c>
      <c r="K7" s="240" t="s">
        <v>164</v>
      </c>
      <c r="L7" s="44" t="str">
        <f>IF(riepilogo!scelta="I"," P / O"," R / S")</f>
        <v> R / S</v>
      </c>
      <c r="M7" s="43" t="s">
        <v>82</v>
      </c>
      <c r="N7" s="388" t="s">
        <v>84</v>
      </c>
      <c r="O7" s="661"/>
      <c r="P7" s="666"/>
      <c r="Q7" s="663"/>
      <c r="R7" s="644"/>
      <c r="S7" s="665"/>
      <c r="T7" s="666"/>
      <c r="U7" s="260" t="s">
        <v>93</v>
      </c>
      <c r="V7" s="259" t="s">
        <v>82</v>
      </c>
      <c r="W7" s="259" t="s">
        <v>84</v>
      </c>
      <c r="X7" s="677"/>
    </row>
    <row r="8" spans="1:24" ht="18.75" customHeight="1">
      <c r="A8" s="480">
        <v>1</v>
      </c>
      <c r="B8" s="15"/>
      <c r="C8" s="15"/>
      <c r="D8" s="18"/>
      <c r="E8" s="17"/>
      <c r="F8" s="417"/>
      <c r="G8" s="348">
        <f aca="true" t="shared" si="0" ref="G8:G26">IF(H8&lt;&gt;"",A8&amp;"d","")</f>
      </c>
      <c r="H8" s="142"/>
      <c r="I8" s="386">
        <f>IF(F8=0,0,F8)</f>
        <v>0</v>
      </c>
      <c r="J8" s="17"/>
      <c r="K8" s="160"/>
      <c r="L8" s="64"/>
      <c r="M8" s="160"/>
      <c r="N8" s="405">
        <f>K8-M8</f>
        <v>0</v>
      </c>
      <c r="O8" s="411"/>
      <c r="Q8" s="146">
        <f>N8</f>
        <v>0</v>
      </c>
      <c r="R8" s="531">
        <f>IF(L8="","",L8)</f>
      </c>
      <c r="S8" s="415"/>
      <c r="T8" s="272"/>
      <c r="U8" s="146">
        <f aca="true" t="shared" si="1" ref="U8:U24">K8</f>
        <v>0</v>
      </c>
      <c r="V8" s="146">
        <f>M8</f>
        <v>0</v>
      </c>
      <c r="W8" s="146">
        <f>U8-V8</f>
        <v>0</v>
      </c>
      <c r="X8" s="445"/>
    </row>
    <row r="9" spans="1:24" ht="18.75" customHeight="1">
      <c r="A9" s="480">
        <v>2</v>
      </c>
      <c r="B9" s="15"/>
      <c r="C9" s="15"/>
      <c r="D9" s="18"/>
      <c r="E9" s="17"/>
      <c r="F9" s="417"/>
      <c r="G9" s="348">
        <f t="shared" si="0"/>
      </c>
      <c r="H9" s="142"/>
      <c r="I9" s="386">
        <f aca="true" t="shared" si="2" ref="I9:I24">IF(F9=0,0,F9)</f>
        <v>0</v>
      </c>
      <c r="J9" s="17"/>
      <c r="K9" s="160"/>
      <c r="L9" s="64"/>
      <c r="M9" s="160"/>
      <c r="N9" s="405">
        <f aca="true" t="shared" si="3" ref="N9:N24">K9-M9</f>
        <v>0</v>
      </c>
      <c r="O9" s="411"/>
      <c r="P9" s="272"/>
      <c r="Q9" s="146">
        <f aca="true" t="shared" si="4" ref="Q9:Q24">N9</f>
        <v>0</v>
      </c>
      <c r="R9" s="531">
        <f aca="true" t="shared" si="5" ref="R9:R24">IF(L9="","",L9)</f>
      </c>
      <c r="S9" s="415"/>
      <c r="T9" s="272"/>
      <c r="U9" s="146">
        <f t="shared" si="1"/>
        <v>0</v>
      </c>
      <c r="V9" s="146">
        <f aca="true" t="shared" si="6" ref="V9:V24">M9</f>
        <v>0</v>
      </c>
      <c r="W9" s="146">
        <f aca="true" t="shared" si="7" ref="W9:W24">U9-V9</f>
        <v>0</v>
      </c>
      <c r="X9" s="445"/>
    </row>
    <row r="10" spans="1:24" ht="18.75" customHeight="1">
      <c r="A10" s="480">
        <v>3</v>
      </c>
      <c r="B10" s="15"/>
      <c r="C10" s="15"/>
      <c r="D10" s="18"/>
      <c r="E10" s="17"/>
      <c r="F10" s="417"/>
      <c r="G10" s="348">
        <f t="shared" si="0"/>
      </c>
      <c r="H10" s="142"/>
      <c r="I10" s="386">
        <f t="shared" si="2"/>
        <v>0</v>
      </c>
      <c r="J10" s="17"/>
      <c r="K10" s="160"/>
      <c r="L10" s="64"/>
      <c r="M10" s="160"/>
      <c r="N10" s="405">
        <f t="shared" si="3"/>
        <v>0</v>
      </c>
      <c r="O10" s="411"/>
      <c r="P10" s="272"/>
      <c r="Q10" s="146">
        <f t="shared" si="4"/>
        <v>0</v>
      </c>
      <c r="R10" s="531">
        <f t="shared" si="5"/>
      </c>
      <c r="S10" s="415"/>
      <c r="T10" s="272"/>
      <c r="U10" s="146">
        <f t="shared" si="1"/>
        <v>0</v>
      </c>
      <c r="V10" s="146">
        <f t="shared" si="6"/>
        <v>0</v>
      </c>
      <c r="W10" s="146">
        <f t="shared" si="7"/>
        <v>0</v>
      </c>
      <c r="X10" s="445"/>
    </row>
    <row r="11" spans="1:24" ht="18.75" customHeight="1">
      <c r="A11" s="480">
        <v>4</v>
      </c>
      <c r="B11" s="15"/>
      <c r="C11" s="15"/>
      <c r="D11" s="18"/>
      <c r="E11" s="17"/>
      <c r="F11" s="417"/>
      <c r="G11" s="348">
        <f t="shared" si="0"/>
      </c>
      <c r="H11" s="142"/>
      <c r="I11" s="386">
        <f t="shared" si="2"/>
        <v>0</v>
      </c>
      <c r="J11" s="17"/>
      <c r="K11" s="160"/>
      <c r="L11" s="64"/>
      <c r="M11" s="160"/>
      <c r="N11" s="405">
        <f t="shared" si="3"/>
        <v>0</v>
      </c>
      <c r="O11" s="411"/>
      <c r="P11" s="272"/>
      <c r="Q11" s="146">
        <f t="shared" si="4"/>
        <v>0</v>
      </c>
      <c r="R11" s="531">
        <f t="shared" si="5"/>
      </c>
      <c r="S11" s="415"/>
      <c r="T11" s="272"/>
      <c r="U11" s="146">
        <f t="shared" si="1"/>
        <v>0</v>
      </c>
      <c r="V11" s="146">
        <f t="shared" si="6"/>
        <v>0</v>
      </c>
      <c r="W11" s="146">
        <f t="shared" si="7"/>
        <v>0</v>
      </c>
      <c r="X11" s="445"/>
    </row>
    <row r="12" spans="1:24" ht="18.75" customHeight="1">
      <c r="A12" s="480">
        <v>5</v>
      </c>
      <c r="B12" s="15"/>
      <c r="C12" s="15"/>
      <c r="D12" s="18"/>
      <c r="E12" s="17"/>
      <c r="F12" s="417"/>
      <c r="G12" s="348">
        <f t="shared" si="0"/>
      </c>
      <c r="H12" s="142"/>
      <c r="I12" s="386">
        <f t="shared" si="2"/>
        <v>0</v>
      </c>
      <c r="J12" s="17"/>
      <c r="K12" s="160"/>
      <c r="L12" s="64"/>
      <c r="M12" s="160"/>
      <c r="N12" s="405">
        <f t="shared" si="3"/>
        <v>0</v>
      </c>
      <c r="O12" s="411"/>
      <c r="P12" s="272"/>
      <c r="Q12" s="146">
        <f t="shared" si="4"/>
        <v>0</v>
      </c>
      <c r="R12" s="531">
        <f t="shared" si="5"/>
      </c>
      <c r="S12" s="415"/>
      <c r="T12" s="272"/>
      <c r="U12" s="146">
        <f t="shared" si="1"/>
        <v>0</v>
      </c>
      <c r="V12" s="146">
        <f t="shared" si="6"/>
        <v>0</v>
      </c>
      <c r="W12" s="146">
        <f t="shared" si="7"/>
        <v>0</v>
      </c>
      <c r="X12" s="445"/>
    </row>
    <row r="13" spans="1:24" ht="18.75" customHeight="1">
      <c r="A13" s="480">
        <v>6</v>
      </c>
      <c r="B13" s="15"/>
      <c r="C13" s="15"/>
      <c r="D13" s="18"/>
      <c r="E13" s="17"/>
      <c r="F13" s="417"/>
      <c r="G13" s="348">
        <f t="shared" si="0"/>
      </c>
      <c r="H13" s="142"/>
      <c r="I13" s="386">
        <f t="shared" si="2"/>
        <v>0</v>
      </c>
      <c r="J13" s="17"/>
      <c r="K13" s="160"/>
      <c r="L13" s="64"/>
      <c r="M13" s="160"/>
      <c r="N13" s="405">
        <f t="shared" si="3"/>
        <v>0</v>
      </c>
      <c r="O13" s="411"/>
      <c r="P13" s="272"/>
      <c r="Q13" s="146">
        <f t="shared" si="4"/>
        <v>0</v>
      </c>
      <c r="R13" s="531">
        <f t="shared" si="5"/>
      </c>
      <c r="S13" s="415"/>
      <c r="T13" s="272"/>
      <c r="U13" s="146">
        <f t="shared" si="1"/>
        <v>0</v>
      </c>
      <c r="V13" s="146">
        <f t="shared" si="6"/>
        <v>0</v>
      </c>
      <c r="W13" s="146">
        <f t="shared" si="7"/>
        <v>0</v>
      </c>
      <c r="X13" s="445"/>
    </row>
    <row r="14" spans="1:24" ht="18.75" customHeight="1">
      <c r="A14" s="480">
        <v>7</v>
      </c>
      <c r="B14" s="15"/>
      <c r="C14" s="15"/>
      <c r="D14" s="18"/>
      <c r="E14" s="17"/>
      <c r="F14" s="417"/>
      <c r="G14" s="348">
        <f t="shared" si="0"/>
      </c>
      <c r="H14" s="142"/>
      <c r="I14" s="386">
        <f t="shared" si="2"/>
        <v>0</v>
      </c>
      <c r="J14" s="17"/>
      <c r="K14" s="160"/>
      <c r="L14" s="64"/>
      <c r="M14" s="160"/>
      <c r="N14" s="405">
        <f t="shared" si="3"/>
        <v>0</v>
      </c>
      <c r="O14" s="411"/>
      <c r="P14" s="272"/>
      <c r="Q14" s="146">
        <f t="shared" si="4"/>
        <v>0</v>
      </c>
      <c r="R14" s="531">
        <f t="shared" si="5"/>
      </c>
      <c r="S14" s="415"/>
      <c r="T14" s="272"/>
      <c r="U14" s="146">
        <f t="shared" si="1"/>
        <v>0</v>
      </c>
      <c r="V14" s="146">
        <f t="shared" si="6"/>
        <v>0</v>
      </c>
      <c r="W14" s="146">
        <f t="shared" si="7"/>
        <v>0</v>
      </c>
      <c r="X14" s="445"/>
    </row>
    <row r="15" spans="1:24" ht="18.75" customHeight="1">
      <c r="A15" s="480">
        <v>8</v>
      </c>
      <c r="B15" s="15"/>
      <c r="C15" s="15"/>
      <c r="D15" s="18"/>
      <c r="E15" s="17"/>
      <c r="F15" s="417"/>
      <c r="G15" s="348">
        <f t="shared" si="0"/>
      </c>
      <c r="H15" s="142"/>
      <c r="I15" s="386">
        <f t="shared" si="2"/>
        <v>0</v>
      </c>
      <c r="J15" s="17"/>
      <c r="K15" s="160"/>
      <c r="L15" s="64"/>
      <c r="M15" s="160"/>
      <c r="N15" s="405">
        <f t="shared" si="3"/>
        <v>0</v>
      </c>
      <c r="O15" s="411"/>
      <c r="P15" s="272"/>
      <c r="Q15" s="146">
        <f t="shared" si="4"/>
        <v>0</v>
      </c>
      <c r="R15" s="531">
        <f t="shared" si="5"/>
      </c>
      <c r="S15" s="415"/>
      <c r="T15" s="272"/>
      <c r="U15" s="146">
        <f t="shared" si="1"/>
        <v>0</v>
      </c>
      <c r="V15" s="146">
        <f t="shared" si="6"/>
        <v>0</v>
      </c>
      <c r="W15" s="146">
        <f t="shared" si="7"/>
        <v>0</v>
      </c>
      <c r="X15" s="445"/>
    </row>
    <row r="16" spans="1:24" ht="18.75" customHeight="1">
      <c r="A16" s="480">
        <v>9</v>
      </c>
      <c r="B16" s="15"/>
      <c r="C16" s="15"/>
      <c r="D16" s="18"/>
      <c r="E16" s="17"/>
      <c r="F16" s="417"/>
      <c r="G16" s="348">
        <f t="shared" si="0"/>
      </c>
      <c r="H16" s="142"/>
      <c r="I16" s="386">
        <f t="shared" si="2"/>
        <v>0</v>
      </c>
      <c r="J16" s="17"/>
      <c r="K16" s="160"/>
      <c r="L16" s="64"/>
      <c r="M16" s="160"/>
      <c r="N16" s="405">
        <f t="shared" si="3"/>
        <v>0</v>
      </c>
      <c r="O16" s="411"/>
      <c r="P16" s="272"/>
      <c r="Q16" s="146">
        <f t="shared" si="4"/>
        <v>0</v>
      </c>
      <c r="R16" s="531">
        <f t="shared" si="5"/>
      </c>
      <c r="S16" s="415"/>
      <c r="T16" s="272"/>
      <c r="U16" s="146">
        <f t="shared" si="1"/>
        <v>0</v>
      </c>
      <c r="V16" s="146">
        <f t="shared" si="6"/>
        <v>0</v>
      </c>
      <c r="W16" s="146">
        <f t="shared" si="7"/>
        <v>0</v>
      </c>
      <c r="X16" s="445"/>
    </row>
    <row r="17" spans="1:24" ht="18.75" customHeight="1">
      <c r="A17" s="480">
        <v>10</v>
      </c>
      <c r="B17" s="15"/>
      <c r="C17" s="15"/>
      <c r="D17" s="18"/>
      <c r="E17" s="17"/>
      <c r="F17" s="417"/>
      <c r="G17" s="348">
        <f t="shared" si="0"/>
      </c>
      <c r="H17" s="142"/>
      <c r="I17" s="386">
        <f t="shared" si="2"/>
        <v>0</v>
      </c>
      <c r="J17" s="17"/>
      <c r="K17" s="160"/>
      <c r="L17" s="64"/>
      <c r="M17" s="160"/>
      <c r="N17" s="405">
        <f t="shared" si="3"/>
        <v>0</v>
      </c>
      <c r="O17" s="411"/>
      <c r="P17" s="272"/>
      <c r="Q17" s="146">
        <f t="shared" si="4"/>
        <v>0</v>
      </c>
      <c r="R17" s="531">
        <f t="shared" si="5"/>
      </c>
      <c r="S17" s="415"/>
      <c r="T17" s="272"/>
      <c r="U17" s="146">
        <f t="shared" si="1"/>
        <v>0</v>
      </c>
      <c r="V17" s="146">
        <f t="shared" si="6"/>
        <v>0</v>
      </c>
      <c r="W17" s="146">
        <f t="shared" si="7"/>
        <v>0</v>
      </c>
      <c r="X17" s="445"/>
    </row>
    <row r="18" spans="1:24" ht="18.75" customHeight="1">
      <c r="A18" s="480">
        <v>11</v>
      </c>
      <c r="B18" s="15"/>
      <c r="C18" s="15"/>
      <c r="D18" s="18"/>
      <c r="E18" s="17"/>
      <c r="F18" s="417"/>
      <c r="G18" s="348">
        <f t="shared" si="0"/>
      </c>
      <c r="H18" s="142"/>
      <c r="I18" s="386">
        <f t="shared" si="2"/>
        <v>0</v>
      </c>
      <c r="J18" s="17"/>
      <c r="K18" s="160"/>
      <c r="L18" s="64"/>
      <c r="M18" s="160"/>
      <c r="N18" s="405">
        <f t="shared" si="3"/>
        <v>0</v>
      </c>
      <c r="O18" s="411"/>
      <c r="P18" s="272"/>
      <c r="Q18" s="146">
        <f t="shared" si="4"/>
        <v>0</v>
      </c>
      <c r="R18" s="531">
        <f t="shared" si="5"/>
      </c>
      <c r="S18" s="415"/>
      <c r="T18" s="272"/>
      <c r="U18" s="146">
        <f t="shared" si="1"/>
        <v>0</v>
      </c>
      <c r="V18" s="146">
        <f t="shared" si="6"/>
        <v>0</v>
      </c>
      <c r="W18" s="146">
        <f t="shared" si="7"/>
        <v>0</v>
      </c>
      <c r="X18" s="445"/>
    </row>
    <row r="19" spans="1:24" ht="18.75" customHeight="1">
      <c r="A19" s="480">
        <v>12</v>
      </c>
      <c r="B19" s="15"/>
      <c r="C19" s="15"/>
      <c r="D19" s="18"/>
      <c r="E19" s="17"/>
      <c r="F19" s="417"/>
      <c r="G19" s="348">
        <f t="shared" si="0"/>
      </c>
      <c r="H19" s="142"/>
      <c r="I19" s="386">
        <f t="shared" si="2"/>
        <v>0</v>
      </c>
      <c r="J19" s="17"/>
      <c r="K19" s="160"/>
      <c r="L19" s="64"/>
      <c r="M19" s="160"/>
      <c r="N19" s="405">
        <f t="shared" si="3"/>
        <v>0</v>
      </c>
      <c r="O19" s="411"/>
      <c r="P19" s="272"/>
      <c r="Q19" s="146">
        <f t="shared" si="4"/>
        <v>0</v>
      </c>
      <c r="R19" s="531">
        <f t="shared" si="5"/>
      </c>
      <c r="S19" s="415"/>
      <c r="T19" s="272"/>
      <c r="U19" s="146">
        <f t="shared" si="1"/>
        <v>0</v>
      </c>
      <c r="V19" s="146">
        <f t="shared" si="6"/>
        <v>0</v>
      </c>
      <c r="W19" s="146">
        <f t="shared" si="7"/>
        <v>0</v>
      </c>
      <c r="X19" s="445"/>
    </row>
    <row r="20" spans="1:24" ht="18.75" customHeight="1">
      <c r="A20" s="480">
        <v>13</v>
      </c>
      <c r="B20" s="15"/>
      <c r="C20" s="15"/>
      <c r="D20" s="18"/>
      <c r="E20" s="17"/>
      <c r="F20" s="417"/>
      <c r="G20" s="348">
        <f t="shared" si="0"/>
      </c>
      <c r="H20" s="142"/>
      <c r="I20" s="386">
        <f t="shared" si="2"/>
        <v>0</v>
      </c>
      <c r="J20" s="17"/>
      <c r="K20" s="160"/>
      <c r="L20" s="64"/>
      <c r="M20" s="160"/>
      <c r="N20" s="405">
        <f t="shared" si="3"/>
        <v>0</v>
      </c>
      <c r="O20" s="411"/>
      <c r="P20" s="272"/>
      <c r="Q20" s="146">
        <f t="shared" si="4"/>
        <v>0</v>
      </c>
      <c r="R20" s="531">
        <f t="shared" si="5"/>
      </c>
      <c r="S20" s="415"/>
      <c r="T20" s="272"/>
      <c r="U20" s="146">
        <f t="shared" si="1"/>
        <v>0</v>
      </c>
      <c r="V20" s="146">
        <f t="shared" si="6"/>
        <v>0</v>
      </c>
      <c r="W20" s="146">
        <f t="shared" si="7"/>
        <v>0</v>
      </c>
      <c r="X20" s="445"/>
    </row>
    <row r="21" spans="1:24" ht="18.75" customHeight="1">
      <c r="A21" s="480">
        <v>14</v>
      </c>
      <c r="B21" s="15"/>
      <c r="C21" s="15"/>
      <c r="D21" s="18"/>
      <c r="E21" s="17"/>
      <c r="F21" s="417"/>
      <c r="G21" s="348">
        <f t="shared" si="0"/>
      </c>
      <c r="H21" s="142"/>
      <c r="I21" s="386">
        <f t="shared" si="2"/>
        <v>0</v>
      </c>
      <c r="J21" s="17"/>
      <c r="K21" s="160"/>
      <c r="L21" s="64"/>
      <c r="M21" s="160"/>
      <c r="N21" s="405">
        <f t="shared" si="3"/>
        <v>0</v>
      </c>
      <c r="O21" s="411"/>
      <c r="P21" s="272"/>
      <c r="Q21" s="146">
        <f t="shared" si="4"/>
        <v>0</v>
      </c>
      <c r="R21" s="531">
        <f t="shared" si="5"/>
      </c>
      <c r="S21" s="415"/>
      <c r="T21" s="272"/>
      <c r="U21" s="146">
        <f t="shared" si="1"/>
        <v>0</v>
      </c>
      <c r="V21" s="146">
        <f t="shared" si="6"/>
        <v>0</v>
      </c>
      <c r="W21" s="146">
        <f t="shared" si="7"/>
        <v>0</v>
      </c>
      <c r="X21" s="445"/>
    </row>
    <row r="22" spans="1:24" ht="18.75" customHeight="1">
      <c r="A22" s="480">
        <v>15</v>
      </c>
      <c r="B22" s="15"/>
      <c r="C22" s="15"/>
      <c r="D22" s="18"/>
      <c r="E22" s="17"/>
      <c r="F22" s="417"/>
      <c r="G22" s="348">
        <f t="shared" si="0"/>
      </c>
      <c r="H22" s="142"/>
      <c r="I22" s="386">
        <f t="shared" si="2"/>
        <v>0</v>
      </c>
      <c r="J22" s="17"/>
      <c r="K22" s="160"/>
      <c r="L22" s="64"/>
      <c r="M22" s="160"/>
      <c r="N22" s="405">
        <f t="shared" si="3"/>
        <v>0</v>
      </c>
      <c r="O22" s="411"/>
      <c r="P22" s="272"/>
      <c r="Q22" s="146">
        <f t="shared" si="4"/>
        <v>0</v>
      </c>
      <c r="R22" s="531">
        <f t="shared" si="5"/>
      </c>
      <c r="S22" s="415"/>
      <c r="T22" s="272"/>
      <c r="U22" s="146">
        <f t="shared" si="1"/>
        <v>0</v>
      </c>
      <c r="V22" s="146">
        <f t="shared" si="6"/>
        <v>0</v>
      </c>
      <c r="W22" s="146">
        <f t="shared" si="7"/>
        <v>0</v>
      </c>
      <c r="X22" s="445"/>
    </row>
    <row r="23" spans="1:24" ht="18.75" customHeight="1">
      <c r="A23" s="480">
        <v>16</v>
      </c>
      <c r="B23" s="15"/>
      <c r="C23" s="15"/>
      <c r="D23" s="18"/>
      <c r="E23" s="17"/>
      <c r="F23" s="417"/>
      <c r="G23" s="348">
        <f t="shared" si="0"/>
      </c>
      <c r="H23" s="142"/>
      <c r="I23" s="386">
        <f t="shared" si="2"/>
        <v>0</v>
      </c>
      <c r="J23" s="17"/>
      <c r="K23" s="160"/>
      <c r="L23" s="64"/>
      <c r="M23" s="160"/>
      <c r="N23" s="405">
        <f t="shared" si="3"/>
        <v>0</v>
      </c>
      <c r="O23" s="411"/>
      <c r="P23" s="272"/>
      <c r="Q23" s="146">
        <f t="shared" si="4"/>
        <v>0</v>
      </c>
      <c r="R23" s="531">
        <f t="shared" si="5"/>
      </c>
      <c r="S23" s="415"/>
      <c r="T23" s="272"/>
      <c r="U23" s="146">
        <f t="shared" si="1"/>
        <v>0</v>
      </c>
      <c r="V23" s="146">
        <f t="shared" si="6"/>
        <v>0</v>
      </c>
      <c r="W23" s="146">
        <f t="shared" si="7"/>
        <v>0</v>
      </c>
      <c r="X23" s="445"/>
    </row>
    <row r="24" spans="1:24" ht="18.75" customHeight="1">
      <c r="A24" s="480">
        <v>17</v>
      </c>
      <c r="B24" s="15"/>
      <c r="C24" s="15"/>
      <c r="D24" s="18"/>
      <c r="E24" s="17"/>
      <c r="F24" s="417"/>
      <c r="G24" s="348">
        <f t="shared" si="0"/>
      </c>
      <c r="H24" s="142"/>
      <c r="I24" s="386">
        <f t="shared" si="2"/>
        <v>0</v>
      </c>
      <c r="J24" s="17"/>
      <c r="K24" s="160"/>
      <c r="L24" s="64"/>
      <c r="M24" s="160"/>
      <c r="N24" s="405">
        <f t="shared" si="3"/>
        <v>0</v>
      </c>
      <c r="O24" s="411"/>
      <c r="P24" s="272"/>
      <c r="Q24" s="146">
        <f t="shared" si="4"/>
        <v>0</v>
      </c>
      <c r="R24" s="531">
        <f t="shared" si="5"/>
      </c>
      <c r="S24" s="415"/>
      <c r="T24" s="272"/>
      <c r="U24" s="146">
        <f t="shared" si="1"/>
        <v>0</v>
      </c>
      <c r="V24" s="146">
        <f t="shared" si="6"/>
        <v>0</v>
      </c>
      <c r="W24" s="146">
        <f t="shared" si="7"/>
        <v>0</v>
      </c>
      <c r="X24" s="445"/>
    </row>
    <row r="25" spans="1:24" ht="18.75" customHeight="1">
      <c r="A25" s="480">
        <v>18</v>
      </c>
      <c r="B25" s="15"/>
      <c r="C25" s="15"/>
      <c r="D25" s="18"/>
      <c r="E25" s="17"/>
      <c r="F25" s="417"/>
      <c r="G25" s="348">
        <f>IF(H25&lt;&gt;"",A25&amp;"d","")</f>
      </c>
      <c r="H25" s="142"/>
      <c r="I25" s="386">
        <f>IF(F25=0,0,F25)</f>
        <v>0</v>
      </c>
      <c r="J25" s="17"/>
      <c r="K25" s="160"/>
      <c r="L25" s="64"/>
      <c r="M25" s="160"/>
      <c r="N25" s="405">
        <f>K25-M25</f>
        <v>0</v>
      </c>
      <c r="O25" s="411"/>
      <c r="P25" s="272"/>
      <c r="Q25" s="146">
        <f>N25</f>
        <v>0</v>
      </c>
      <c r="R25" s="531">
        <f>IF(L25="","",L25)</f>
      </c>
      <c r="S25" s="415"/>
      <c r="T25" s="272"/>
      <c r="U25" s="146">
        <f>K25</f>
        <v>0</v>
      </c>
      <c r="V25" s="146">
        <f>M25</f>
        <v>0</v>
      </c>
      <c r="W25" s="146">
        <f>U25-V25</f>
        <v>0</v>
      </c>
      <c r="X25" s="445"/>
    </row>
    <row r="26" spans="1:24" s="56" customFormat="1" ht="13.5" customHeight="1">
      <c r="A26" s="533" t="s">
        <v>18</v>
      </c>
      <c r="B26" s="45" t="str">
        <f>"TOTALE "&amp;IF(riepilogo!scelta="I","PROCESSI","RICERCA")</f>
        <v>TOTALE RICERCA</v>
      </c>
      <c r="C26" s="122"/>
      <c r="D26" s="594">
        <f>COUNTA(D8:D25)</f>
        <v>0</v>
      </c>
      <c r="E26" s="62"/>
      <c r="F26" s="591"/>
      <c r="G26" s="354">
        <f t="shared" si="0"/>
      </c>
      <c r="H26" s="54"/>
      <c r="I26" s="62"/>
      <c r="J26" s="62"/>
      <c r="K26" s="55">
        <f>IF($F$8=0,0,IF(riepilogo!scelta="I",SUMIF($L8:$L25,"P",K8:K25),SUMIF($L8:$L25,"R",K8:K25)))</f>
        <v>0</v>
      </c>
      <c r="L26" s="500"/>
      <c r="M26" s="55">
        <f>IF($F$8=0,0,IF(riepilogo!scelta="I",SUMIF($L8:$L25,"P",M8:M25),SUMIF($L8:$L25,"R",M8:M25)))</f>
        <v>0</v>
      </c>
      <c r="N26" s="406">
        <f>IF($F$8=0,0,IF(riepilogo!scelta="I",SUMIF($L8:$L25,"P",N8:N25),SUMIF($L8:$L25,"R",N8:N25)))</f>
        <v>0</v>
      </c>
      <c r="O26" s="606">
        <f>COUNTIF(O8:O25,"=x")</f>
        <v>0</v>
      </c>
      <c r="P26" s="605" t="e">
        <f>ROUNDDOWN(O26/D26,4)</f>
        <v>#DIV/0!</v>
      </c>
      <c r="Q26" s="153">
        <f>IF($F$8=0,0,IF(riepilogo!scelta="I",SUMIF($R8:$R25,"P",Q8:Q25),SUMIF($R8:$R25,"R",Q8:Q25)))</f>
        <v>0</v>
      </c>
      <c r="R26" s="506"/>
      <c r="S26" s="490"/>
      <c r="T26" s="486"/>
      <c r="U26" s="153">
        <f>IF($F$8=0,0,IF(riepilogo!scelta="I",SUMIF($R8:$R25,"P",U8:U25),SUMIF($R8:$R25,"R",U8:U25)))</f>
        <v>0</v>
      </c>
      <c r="V26" s="153">
        <f>IF($F$8=0,0,IF(riepilogo!scelta="I",SUMIF($R8:$R25,"P",V8:V25),SUMIF($R8:$R25,"R",V8:V25)))</f>
        <v>0</v>
      </c>
      <c r="W26" s="153">
        <f>IF($F$8=0,0,IF(riepilogo!scelta="I",SUMIF($R8:$R25,"P",W8:W25),SUMIF($R8:$R25,"R",W8:W25)))</f>
        <v>0</v>
      </c>
      <c r="X26" s="445"/>
    </row>
    <row r="27" spans="1:24" s="56" customFormat="1" ht="12.75" customHeight="1">
      <c r="A27" s="480"/>
      <c r="B27" s="45" t="str">
        <f>"TOTALE "&amp;IF(riepilogo!scelta="I","ORGANIZZAZIONE","SVILUPPO")</f>
        <v>TOTALE SVILUPPO</v>
      </c>
      <c r="C27" s="122"/>
      <c r="D27" s="53"/>
      <c r="E27" s="62"/>
      <c r="F27" s="195"/>
      <c r="G27" s="354"/>
      <c r="H27" s="54"/>
      <c r="I27" s="62"/>
      <c r="J27" s="62"/>
      <c r="K27" s="55">
        <f>IF($F$8=0,0,IF(riepilogo!scelta="I",SUMIF($L8:$L25,"O",K8:K25),SUMIF($L8:$L25,"S",K8:K25)))</f>
        <v>0</v>
      </c>
      <c r="L27" s="500"/>
      <c r="M27" s="55">
        <f>IF($F$8=0,0,IF(riepilogo!scelta="I",SUMIF($L8:$L25,"O",M8:M25),SUMIF($L8:$L25,"S",M8:M25)))</f>
        <v>0</v>
      </c>
      <c r="N27" s="406">
        <f>IF($F$8=0,0,IF(riepilogo!scelta="I",SUMIF($L8:$L25,"O",N8:N25),SUMIF($L8:$L25,"S",N8:N25)))</f>
        <v>0</v>
      </c>
      <c r="O27" s="410">
        <f>IF(AND(N26=0,N27=0),0,SUMIF(O8:O25,"x",N8:N25))</f>
        <v>0</v>
      </c>
      <c r="P27" s="605" t="e">
        <f>ROUNDDOWN(O27/N28,4)</f>
        <v>#DIV/0!</v>
      </c>
      <c r="Q27" s="153">
        <f>IF($F$8=0,0,IF(riepilogo!scelta="I",SUMIF($R8:$R25,"O",Q8:Q25),SUMIF($R8:$R25,"S",Q8:Q25)))</f>
        <v>0</v>
      </c>
      <c r="R27" s="505"/>
      <c r="S27" s="269">
        <f>IF(AND(Q26=0,Q27=0),0,SUMIF(S8:S25,"x",Q8:Q25))</f>
        <v>0</v>
      </c>
      <c r="T27" s="605" t="e">
        <f>ROUNDDOWN(S27/Q28,4)</f>
        <v>#DIV/0!</v>
      </c>
      <c r="U27" s="153">
        <f>IF($F$8=0,0,IF(riepilogo!scelta="I",SUMIF($R8:$R25,"O",U8:U25),SUMIF($R8:$R25,"S",U8:U25)))</f>
        <v>0</v>
      </c>
      <c r="V27" s="153">
        <f>IF($F$8=0,0,IF(riepilogo!scelta="I",SUMIF($R8:$R25,"O",V8:V25),SUMIF($R8:$R25,"S",V8:V25)))</f>
        <v>0</v>
      </c>
      <c r="W27" s="153">
        <f>IF($F$8=0,0,IF(riepilogo!scelta="I",SUMIF($R8:$R25,"O",W8:W25),SUMIF($R8:$R25,"S",W8:W25)))</f>
        <v>0</v>
      </c>
      <c r="X27" s="445"/>
    </row>
    <row r="28" spans="2:23" ht="22.5" customHeight="1">
      <c r="B28" s="672" t="s">
        <v>156</v>
      </c>
      <c r="C28" s="672"/>
      <c r="D28" s="672"/>
      <c r="E28" s="672"/>
      <c r="F28" s="672"/>
      <c r="G28" s="672"/>
      <c r="H28" s="672"/>
      <c r="I28" s="139"/>
      <c r="J28" s="535"/>
      <c r="K28" s="580">
        <f>SUM(K26:K27)</f>
        <v>0</v>
      </c>
      <c r="L28" s="581"/>
      <c r="M28" s="580">
        <f>SUM(M26:M27)</f>
        <v>0</v>
      </c>
      <c r="N28" s="580">
        <f>SUM(N26:N27)</f>
        <v>0</v>
      </c>
      <c r="O28" s="582"/>
      <c r="P28" s="526"/>
      <c r="Q28" s="583">
        <f>SUM(Q26:Q27)</f>
        <v>0</v>
      </c>
      <c r="R28" s="584"/>
      <c r="S28" s="525"/>
      <c r="T28" s="526"/>
      <c r="U28" s="585">
        <f>SUM(U26:U27)</f>
        <v>0</v>
      </c>
      <c r="V28" s="585">
        <f>SUM(V26:V27)</f>
        <v>0</v>
      </c>
      <c r="W28" s="585">
        <f>SUM(W26:W27)</f>
        <v>0</v>
      </c>
    </row>
    <row r="29" spans="2:8" ht="10.5">
      <c r="B29" s="672"/>
      <c r="C29" s="672"/>
      <c r="D29" s="672"/>
      <c r="E29" s="672"/>
      <c r="F29" s="672"/>
      <c r="G29" s="672"/>
      <c r="H29" s="672"/>
    </row>
  </sheetData>
  <sheetProtection password="CC84" sheet="1" objects="1" scenarios="1" formatColumns="0" formatRows="0"/>
  <mergeCells count="14">
    <mergeCell ref="B6:B7"/>
    <mergeCell ref="G6:J6"/>
    <mergeCell ref="D6:F6"/>
    <mergeCell ref="B28:H29"/>
    <mergeCell ref="S6:S7"/>
    <mergeCell ref="C6:C7"/>
    <mergeCell ref="K6:N6"/>
    <mergeCell ref="X6:X7"/>
    <mergeCell ref="U6:W6"/>
    <mergeCell ref="O6:O7"/>
    <mergeCell ref="Q6:Q7"/>
    <mergeCell ref="R6:R7"/>
    <mergeCell ref="P6:P7"/>
    <mergeCell ref="T6:T7"/>
  </mergeCells>
  <conditionalFormatting sqref="S8:S25">
    <cfRule type="cellIs" priority="1" dxfId="2" operator="notEqual" stopIfTrue="1">
      <formula>O8</formula>
    </cfRule>
  </conditionalFormatting>
  <conditionalFormatting sqref="E8:E25">
    <cfRule type="cellIs" priority="2" dxfId="2" operator="lessThan" stopIfTrue="1">
      <formula>$D$1</formula>
    </cfRule>
    <cfRule type="cellIs" priority="3" dxfId="2" operator="greaterThan" stopIfTrue="1">
      <formula>$D$2</formula>
    </cfRule>
  </conditionalFormatting>
  <conditionalFormatting sqref="L8:L25 R8:R25">
    <cfRule type="cellIs" priority="4" dxfId="0" operator="equal" stopIfTrue="1">
      <formula>"S"</formula>
    </cfRule>
    <cfRule type="cellIs" priority="5" dxfId="1" operator="equal" stopIfTrue="1">
      <formula>"O"</formula>
    </cfRule>
  </conditionalFormatting>
  <dataValidations count="2">
    <dataValidation type="list" allowBlank="1" showInputMessage="1" showErrorMessage="1" sqref="H8:H25">
      <formula1>tipopagamento</formula1>
    </dataValidation>
    <dataValidation allowBlank="1" showInputMessage="1" showErrorMessage="1" prompt="le righe si possono allargare" sqref="B8:B10"/>
  </dataValidations>
  <printOptions/>
  <pageMargins left="0.2362204724409449" right="0.15748031496062992" top="0.3937007874015748" bottom="0.3937007874015748" header="0.31496062992125984" footer="0.3937007874015748"/>
  <pageSetup fitToHeight="100" fitToWidth="1" horizontalDpi="600" verticalDpi="600" orientation="landscape" paperSize="9" r:id="rId1"/>
  <headerFooter alignWithMargins="0">
    <oddFooter>&amp;R&amp;"Verdana,Normale"&amp;8&amp;P</oddFooter>
  </headerFooter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7">
    <tabColor indexed="50"/>
    <pageSetUpPr fitToPage="1"/>
  </sheetPr>
  <dimension ref="A1:AJ28"/>
  <sheetViews>
    <sheetView workbookViewId="0" topLeftCell="A1">
      <selection activeCell="B3" sqref="B3"/>
    </sheetView>
  </sheetViews>
  <sheetFormatPr defaultColWidth="9.140625" defaultRowHeight="12.75"/>
  <cols>
    <col min="1" max="1" width="2.57421875" style="478" customWidth="1"/>
    <col min="2" max="2" width="16.140625" style="19" customWidth="1"/>
    <col min="3" max="3" width="12.421875" style="19" customWidth="1"/>
    <col min="4" max="4" width="6.00390625" style="23" customWidth="1"/>
    <col min="5" max="5" width="6.421875" style="27" customWidth="1"/>
    <col min="6" max="6" width="9.57421875" style="19" customWidth="1"/>
    <col min="7" max="7" width="4.421875" style="350" customWidth="1"/>
    <col min="8" max="8" width="8.8515625" style="140" customWidth="1"/>
    <col min="9" max="9" width="9.57421875" style="155" customWidth="1"/>
    <col min="10" max="10" width="7.421875" style="27" customWidth="1"/>
    <col min="11" max="11" width="9.57421875" style="57" customWidth="1"/>
    <col min="12" max="12" width="2.57421875" style="57" customWidth="1"/>
    <col min="13" max="14" width="6.421875" style="57" customWidth="1"/>
    <col min="15" max="15" width="4.28125" style="57" customWidth="1"/>
    <col min="16" max="16" width="2.28125" style="58" customWidth="1"/>
    <col min="17" max="17" width="11.00390625" style="19" customWidth="1"/>
    <col min="18" max="18" width="10.8515625" style="246" customWidth="1"/>
    <col min="19" max="19" width="10.8515625" style="19" customWidth="1"/>
    <col min="20" max="20" width="5.28125" style="409" hidden="1" customWidth="1"/>
    <col min="21" max="21" width="5.140625" style="270" hidden="1" customWidth="1"/>
    <col min="22" max="22" width="9.57421875" style="390" hidden="1" customWidth="1"/>
    <col min="23" max="23" width="2.00390625" style="474" hidden="1" customWidth="1"/>
    <col min="24" max="25" width="6.421875" style="390" hidden="1" customWidth="1"/>
    <col min="26" max="26" width="4.28125" style="390" hidden="1" customWidth="1"/>
    <col min="27" max="27" width="2.28125" style="391" hidden="1" customWidth="1"/>
    <col min="28" max="28" width="9.57421875" style="222" hidden="1" customWidth="1"/>
    <col min="29" max="29" width="9.28125" style="401" hidden="1" customWidth="1"/>
    <col min="30" max="30" width="9.140625" style="108" hidden="1" customWidth="1"/>
    <col min="31" max="31" width="4.8515625" style="262" hidden="1" customWidth="1"/>
    <col min="32" max="32" width="5.00390625" style="270" hidden="1" customWidth="1"/>
    <col min="33" max="34" width="11.140625" style="147" hidden="1" customWidth="1"/>
    <col min="35" max="35" width="10.57421875" style="147" hidden="1" customWidth="1"/>
    <col min="36" max="36" width="36.28125" style="180" hidden="1" customWidth="1"/>
    <col min="37" max="37" width="0" style="19" hidden="1" customWidth="1"/>
    <col min="38" max="16384" width="9.140625" style="19" customWidth="1"/>
  </cols>
  <sheetData>
    <row r="1" spans="1:36" ht="17.25" customHeight="1">
      <c r="A1" s="477"/>
      <c r="B1" s="72" t="s">
        <v>32</v>
      </c>
      <c r="C1" s="72"/>
      <c r="D1" s="165">
        <f>datainizioprogetto</f>
        <v>0</v>
      </c>
      <c r="F1" s="48"/>
      <c r="G1" s="349"/>
      <c r="H1" s="141"/>
      <c r="R1" s="242"/>
      <c r="S1" s="49" t="s">
        <v>11</v>
      </c>
      <c r="T1" s="403" t="s">
        <v>124</v>
      </c>
      <c r="U1" s="271"/>
      <c r="AB1" s="264"/>
      <c r="AC1" s="392"/>
      <c r="AD1" s="222"/>
      <c r="AE1" s="261"/>
      <c r="AF1" s="271"/>
      <c r="AG1" s="145"/>
      <c r="AI1" s="145"/>
      <c r="AJ1" s="49" t="s">
        <v>11</v>
      </c>
    </row>
    <row r="2" spans="1:36" ht="17.25" customHeight="1" thickBot="1">
      <c r="A2" s="477"/>
      <c r="B2" s="48"/>
      <c r="C2" s="48"/>
      <c r="D2" s="165">
        <f>datafineprogetto</f>
        <v>0</v>
      </c>
      <c r="F2" s="48"/>
      <c r="G2" s="349"/>
      <c r="H2" s="141"/>
      <c r="R2" s="97"/>
      <c r="S2" s="50" t="s">
        <v>147</v>
      </c>
      <c r="T2" s="407"/>
      <c r="U2" s="271"/>
      <c r="AB2" s="264"/>
      <c r="AC2" s="393"/>
      <c r="AD2" s="222"/>
      <c r="AE2" s="261"/>
      <c r="AF2" s="271"/>
      <c r="AG2" s="145"/>
      <c r="AH2" s="145"/>
      <c r="AI2" s="145"/>
      <c r="AJ2" s="50" t="str">
        <f>"rendicontazione "&amp;IF(riepilogo!scelta="R","Ricerca",IF(riepilogo!scelta="I","Innovazione processi",""))&amp;" - elenco e)"</f>
        <v>rendicontazione  - elenco e)</v>
      </c>
    </row>
    <row r="3" spans="2:36" ht="24.75" customHeight="1" thickBot="1" thickTop="1">
      <c r="B3" s="36" t="s">
        <v>8</v>
      </c>
      <c r="C3" s="36"/>
      <c r="E3" s="59"/>
      <c r="H3" s="19"/>
      <c r="J3" s="23"/>
      <c r="K3" s="37"/>
      <c r="L3" s="37"/>
      <c r="M3" s="37"/>
      <c r="N3" s="37"/>
      <c r="P3" s="60"/>
      <c r="R3" s="359"/>
      <c r="S3" s="362"/>
      <c r="T3" s="408"/>
      <c r="U3" s="338"/>
      <c r="V3" s="338"/>
      <c r="W3" s="475"/>
      <c r="X3" s="338"/>
      <c r="Y3" s="338"/>
      <c r="Z3" s="338"/>
      <c r="AA3" s="338"/>
      <c r="AB3" s="338"/>
      <c r="AC3" s="340" t="s">
        <v>87</v>
      </c>
      <c r="AD3" s="338"/>
      <c r="AE3" s="338"/>
      <c r="AF3" s="338"/>
      <c r="AG3" s="340"/>
      <c r="AH3" s="340"/>
      <c r="AI3" s="340"/>
      <c r="AJ3" s="339"/>
    </row>
    <row r="4" spans="2:36" ht="11.25" customHeight="1" thickTop="1">
      <c r="B4" s="148"/>
      <c r="C4" s="148"/>
      <c r="E4" s="59"/>
      <c r="F4" s="39"/>
      <c r="H4" s="19"/>
      <c r="K4" s="39"/>
      <c r="L4" s="39"/>
      <c r="M4" s="39"/>
      <c r="N4" s="39"/>
      <c r="P4" s="60"/>
      <c r="R4" s="359"/>
      <c r="S4" s="362"/>
      <c r="V4" s="402"/>
      <c r="W4" s="402"/>
      <c r="X4" s="402"/>
      <c r="Y4" s="402"/>
      <c r="AA4" s="394"/>
      <c r="AC4" s="402"/>
      <c r="AG4" s="163"/>
      <c r="AH4" s="163"/>
      <c r="AI4" s="163"/>
      <c r="AJ4" s="190"/>
    </row>
    <row r="5" spans="2:36" ht="6.75" customHeight="1">
      <c r="B5" s="48"/>
      <c r="C5" s="48"/>
      <c r="E5" s="59"/>
      <c r="F5" s="39"/>
      <c r="H5" s="19"/>
      <c r="K5" s="39"/>
      <c r="L5" s="39"/>
      <c r="M5" s="39"/>
      <c r="N5" s="39"/>
      <c r="O5" s="39"/>
      <c r="P5" s="60"/>
      <c r="Q5" s="154"/>
      <c r="R5" s="244"/>
      <c r="S5" s="154"/>
      <c r="V5" s="402"/>
      <c r="W5" s="402"/>
      <c r="X5" s="402"/>
      <c r="Y5" s="402"/>
      <c r="Z5" s="402"/>
      <c r="AA5" s="394"/>
      <c r="AB5" s="395"/>
      <c r="AC5" s="396"/>
      <c r="AG5" s="104"/>
      <c r="AH5" s="104"/>
      <c r="AI5" s="104"/>
      <c r="AJ5" s="186"/>
    </row>
    <row r="6" spans="1:36" s="52" customFormat="1" ht="9.75" customHeight="1">
      <c r="A6" s="479"/>
      <c r="B6" s="670" t="s">
        <v>109</v>
      </c>
      <c r="C6" s="670" t="s">
        <v>56</v>
      </c>
      <c r="D6" s="667" t="s">
        <v>54</v>
      </c>
      <c r="E6" s="668"/>
      <c r="F6" s="669"/>
      <c r="G6" s="673" t="s">
        <v>133</v>
      </c>
      <c r="H6" s="674"/>
      <c r="I6" s="674"/>
      <c r="J6" s="675"/>
      <c r="K6" s="667" t="s">
        <v>136</v>
      </c>
      <c r="L6" s="668"/>
      <c r="M6" s="668"/>
      <c r="N6" s="668"/>
      <c r="O6" s="668"/>
      <c r="P6" s="668"/>
      <c r="Q6" s="668"/>
      <c r="R6" s="668"/>
      <c r="S6" s="669"/>
      <c r="T6" s="660" t="s">
        <v>99</v>
      </c>
      <c r="U6" s="666" t="s">
        <v>174</v>
      </c>
      <c r="V6" s="617" t="s">
        <v>101</v>
      </c>
      <c r="W6" s="618"/>
      <c r="X6" s="618"/>
      <c r="Y6" s="618"/>
      <c r="Z6" s="618"/>
      <c r="AA6" s="618"/>
      <c r="AB6" s="618"/>
      <c r="AC6" s="618"/>
      <c r="AD6" s="642"/>
      <c r="AE6" s="664" t="s">
        <v>100</v>
      </c>
      <c r="AF6" s="666" t="s">
        <v>174</v>
      </c>
      <c r="AG6" s="617" t="s">
        <v>125</v>
      </c>
      <c r="AH6" s="618"/>
      <c r="AI6" s="642"/>
      <c r="AJ6" s="676" t="s">
        <v>59</v>
      </c>
    </row>
    <row r="7" spans="1:36" ht="40.5" customHeight="1">
      <c r="A7" s="480"/>
      <c r="B7" s="671"/>
      <c r="C7" s="671"/>
      <c r="D7" s="43" t="s">
        <v>55</v>
      </c>
      <c r="E7" s="31" t="s">
        <v>57</v>
      </c>
      <c r="F7" s="43" t="s">
        <v>111</v>
      </c>
      <c r="G7" s="351" t="s">
        <v>55</v>
      </c>
      <c r="H7" s="138" t="s">
        <v>134</v>
      </c>
      <c r="I7" s="138" t="s">
        <v>62</v>
      </c>
      <c r="J7" s="138" t="s">
        <v>135</v>
      </c>
      <c r="K7" s="43" t="s">
        <v>112</v>
      </c>
      <c r="L7" s="43" t="str">
        <f>IF(riepilogo!scelta="I"," P / O"," R / S")</f>
        <v> R / S</v>
      </c>
      <c r="M7" s="43" t="s">
        <v>137</v>
      </c>
      <c r="N7" s="43" t="s">
        <v>138</v>
      </c>
      <c r="O7" s="43" t="s">
        <v>61</v>
      </c>
      <c r="P7" s="357" t="s">
        <v>140</v>
      </c>
      <c r="Q7" s="43" t="s">
        <v>85</v>
      </c>
      <c r="R7" s="43" t="s">
        <v>82</v>
      </c>
      <c r="S7" s="43" t="s">
        <v>84</v>
      </c>
      <c r="T7" s="661"/>
      <c r="U7" s="666"/>
      <c r="V7" s="389" t="s">
        <v>113</v>
      </c>
      <c r="W7" s="471" t="str">
        <f>L7</f>
        <v> R / S</v>
      </c>
      <c r="X7" s="389" t="s">
        <v>126</v>
      </c>
      <c r="Y7" s="389" t="s">
        <v>127</v>
      </c>
      <c r="Z7" s="389" t="s">
        <v>61</v>
      </c>
      <c r="AA7" s="389" t="s">
        <v>128</v>
      </c>
      <c r="AB7" s="259" t="s">
        <v>85</v>
      </c>
      <c r="AC7" s="259" t="s">
        <v>82</v>
      </c>
      <c r="AD7" s="259" t="s">
        <v>84</v>
      </c>
      <c r="AE7" s="665"/>
      <c r="AF7" s="666"/>
      <c r="AG7" s="260" t="s">
        <v>85</v>
      </c>
      <c r="AH7" s="259" t="s">
        <v>82</v>
      </c>
      <c r="AI7" s="259" t="s">
        <v>84</v>
      </c>
      <c r="AJ7" s="677"/>
    </row>
    <row r="8" spans="1:36" ht="18.75" customHeight="1">
      <c r="A8" s="480">
        <v>1</v>
      </c>
      <c r="B8" s="15"/>
      <c r="C8" s="15"/>
      <c r="D8" s="18"/>
      <c r="E8" s="17"/>
      <c r="F8" s="417"/>
      <c r="G8" s="348">
        <f>IF(H8&lt;&gt;"",A8&amp;"e","")</f>
      </c>
      <c r="H8" s="142"/>
      <c r="I8" s="417">
        <f>IF(F8=0,0,F8)</f>
        <v>0</v>
      </c>
      <c r="J8" s="17"/>
      <c r="K8" s="417"/>
      <c r="L8" s="64"/>
      <c r="M8" s="17"/>
      <c r="N8" s="17"/>
      <c r="O8" s="149">
        <f>IF(AND(K8&gt;0,M8&lt;&gt;"",N8&lt;&gt;""),N8-M8+1,"")</f>
      </c>
      <c r="P8" s="64"/>
      <c r="Q8" s="61">
        <f>IF(OR(O8&lt;&gt;"",P8&lt;&gt;""),IF(P8="no",K8,IF(ROUND(K8*O8/(DATE(YEAR(M8)+3,MONTH(M8),DAY(M8))-M8),2)&gt;K8,K8,ROUND(K8*O8/(DATE(YEAR(M8)+3,MONTH(M8),DAY(M8))-M8),2))),0)</f>
        <v>0</v>
      </c>
      <c r="R8" s="160"/>
      <c r="S8" s="61">
        <f>Q8-R8</f>
        <v>0</v>
      </c>
      <c r="T8" s="411"/>
      <c r="U8" s="272"/>
      <c r="V8" s="416">
        <f>K8</f>
        <v>0</v>
      </c>
      <c r="W8" s="413">
        <f>IF(L8="","",L8)</f>
      </c>
      <c r="X8" s="412">
        <f>IF(M8&lt;&gt;"",M8,"")</f>
      </c>
      <c r="Y8" s="412">
        <f>IF(N8&lt;&gt;"",N8,"")</f>
      </c>
      <c r="Z8" s="385">
        <f>IF(AND(V8&gt;0,X8&lt;&gt;"",Y8&lt;&gt;""),Y8-X8+1,"")</f>
      </c>
      <c r="AA8" s="413">
        <f>IF(P8="","",P8)</f>
      </c>
      <c r="AB8" s="61">
        <f>IF(OR(Z8&lt;&gt;"",AA8&lt;&gt;""),IF(AA8="no",V8,IF(ROUND(V8*Z8/(DATE(YEAR(X8)+3,MONTH(X8),DAY(X8))-X8),2)&gt;V8,V8,ROUND(V8*Z8/(DATE(YEAR(X8)+3,MONTH(X8),DAY(X8))-X8),2))),0)</f>
        <v>0</v>
      </c>
      <c r="AC8" s="414">
        <f>R8</f>
        <v>0</v>
      </c>
      <c r="AD8" s="146">
        <f>AB8-AC8</f>
        <v>0</v>
      </c>
      <c r="AE8" s="415"/>
      <c r="AF8" s="272"/>
      <c r="AG8" s="146">
        <f>AB8</f>
        <v>0</v>
      </c>
      <c r="AH8" s="146">
        <f>AC8</f>
        <v>0</v>
      </c>
      <c r="AI8" s="146">
        <f>AG8-AH8</f>
        <v>0</v>
      </c>
      <c r="AJ8" s="445"/>
    </row>
    <row r="9" spans="1:36" ht="18.75" customHeight="1">
      <c r="A9" s="480">
        <v>2</v>
      </c>
      <c r="B9" s="15"/>
      <c r="C9" s="15"/>
      <c r="D9" s="18"/>
      <c r="E9" s="17"/>
      <c r="F9" s="417"/>
      <c r="G9" s="348">
        <f aca="true" t="shared" si="0" ref="G9:G25">IF(H9&lt;&gt;"",A9&amp;"e","")</f>
      </c>
      <c r="H9" s="142"/>
      <c r="I9" s="417">
        <f aca="true" t="shared" si="1" ref="I9:I25">IF(F9=0,0,F9)</f>
        <v>0</v>
      </c>
      <c r="J9" s="17"/>
      <c r="K9" s="417"/>
      <c r="L9" s="64"/>
      <c r="M9" s="17"/>
      <c r="N9" s="17"/>
      <c r="O9" s="149">
        <f aca="true" t="shared" si="2" ref="O9:O25">IF(AND(K9&gt;0,M9&lt;&gt;"",N9&lt;&gt;""),N9-M9+1,"")</f>
      </c>
      <c r="P9" s="64"/>
      <c r="Q9" s="61">
        <f aca="true" t="shared" si="3" ref="Q9:Q25">IF(OR(O9&lt;&gt;"",P9&lt;&gt;""),IF(P9="no",K9,IF(ROUND(K9*O9/(DATE(YEAR(M9)+3,MONTH(M9),DAY(M9))-M9),2)&gt;K9,K9,ROUND(K9*O9/(DATE(YEAR(M9)+3,MONTH(M9),DAY(M9))-M9),2))),0)</f>
        <v>0</v>
      </c>
      <c r="R9" s="160"/>
      <c r="S9" s="61">
        <f aca="true" t="shared" si="4" ref="S9:S25">Q9-R9</f>
        <v>0</v>
      </c>
      <c r="T9" s="411"/>
      <c r="U9" s="272"/>
      <c r="V9" s="416">
        <f aca="true" t="shared" si="5" ref="V9:V25">K9</f>
        <v>0</v>
      </c>
      <c r="W9" s="413">
        <f aca="true" t="shared" si="6" ref="W9:W25">IF(L9="","",L9)</f>
      </c>
      <c r="X9" s="412">
        <f aca="true" t="shared" si="7" ref="X9:X25">IF(M9&lt;&gt;"",M9,"")</f>
      </c>
      <c r="Y9" s="412">
        <f aca="true" t="shared" si="8" ref="Y9:Y25">IF(N9&lt;&gt;"",N9,"")</f>
      </c>
      <c r="Z9" s="385">
        <f aca="true" t="shared" si="9" ref="Z9:Z25">IF(AND(V9&gt;0,X9&lt;&gt;"",Y9&lt;&gt;""),Y9-X9+1,"")</f>
      </c>
      <c r="AA9" s="413">
        <f aca="true" t="shared" si="10" ref="AA9:AA25">IF(P9="","",P9)</f>
      </c>
      <c r="AB9" s="61">
        <f aca="true" t="shared" si="11" ref="AB9:AB25">IF(OR(Z9&lt;&gt;"",AA9&lt;&gt;""),IF(AA9="no",V9,IF(ROUND(V9*Z9/(DATE(YEAR(X9)+3,MONTH(X9),DAY(X9))-X9),2)&gt;V9,V9,ROUND(V9*Z9/(DATE(YEAR(X9)+3,MONTH(X9),DAY(X9))-X9),2))),0)</f>
        <v>0</v>
      </c>
      <c r="AC9" s="414">
        <f aca="true" t="shared" si="12" ref="AC9:AC25">R9</f>
        <v>0</v>
      </c>
      <c r="AD9" s="146">
        <f aca="true" t="shared" si="13" ref="AD9:AD25">AB9-AC9</f>
        <v>0</v>
      </c>
      <c r="AE9" s="415"/>
      <c r="AF9" s="272"/>
      <c r="AG9" s="146">
        <f aca="true" t="shared" si="14" ref="AG9:AH25">AB9</f>
        <v>0</v>
      </c>
      <c r="AH9" s="146">
        <f t="shared" si="14"/>
        <v>0</v>
      </c>
      <c r="AI9" s="146">
        <f aca="true" t="shared" si="15" ref="AI9:AI25">AG9-AH9</f>
        <v>0</v>
      </c>
      <c r="AJ9" s="445"/>
    </row>
    <row r="10" spans="1:36" ht="18.75" customHeight="1">
      <c r="A10" s="480">
        <v>3</v>
      </c>
      <c r="B10" s="15"/>
      <c r="C10" s="15"/>
      <c r="D10" s="18"/>
      <c r="E10" s="17"/>
      <c r="F10" s="417"/>
      <c r="G10" s="348">
        <f t="shared" si="0"/>
      </c>
      <c r="H10" s="142"/>
      <c r="I10" s="417">
        <f t="shared" si="1"/>
        <v>0</v>
      </c>
      <c r="J10" s="17"/>
      <c r="K10" s="417"/>
      <c r="L10" s="64"/>
      <c r="M10" s="17"/>
      <c r="N10" s="17"/>
      <c r="O10" s="149">
        <f t="shared" si="2"/>
      </c>
      <c r="P10" s="64"/>
      <c r="Q10" s="61">
        <f t="shared" si="3"/>
        <v>0</v>
      </c>
      <c r="R10" s="160"/>
      <c r="S10" s="61">
        <f t="shared" si="4"/>
        <v>0</v>
      </c>
      <c r="T10" s="411"/>
      <c r="U10" s="272"/>
      <c r="V10" s="416">
        <f t="shared" si="5"/>
        <v>0</v>
      </c>
      <c r="W10" s="413">
        <f t="shared" si="6"/>
      </c>
      <c r="X10" s="412">
        <f t="shared" si="7"/>
      </c>
      <c r="Y10" s="412">
        <f t="shared" si="8"/>
      </c>
      <c r="Z10" s="385">
        <f t="shared" si="9"/>
      </c>
      <c r="AA10" s="413">
        <f t="shared" si="10"/>
      </c>
      <c r="AB10" s="61">
        <f t="shared" si="11"/>
        <v>0</v>
      </c>
      <c r="AC10" s="414">
        <f t="shared" si="12"/>
        <v>0</v>
      </c>
      <c r="AD10" s="146">
        <f t="shared" si="13"/>
        <v>0</v>
      </c>
      <c r="AE10" s="415"/>
      <c r="AF10" s="272"/>
      <c r="AG10" s="146">
        <f t="shared" si="14"/>
        <v>0</v>
      </c>
      <c r="AH10" s="146">
        <f t="shared" si="14"/>
        <v>0</v>
      </c>
      <c r="AI10" s="146">
        <f t="shared" si="15"/>
        <v>0</v>
      </c>
      <c r="AJ10" s="445"/>
    </row>
    <row r="11" spans="1:36" ht="18.75" customHeight="1">
      <c r="A11" s="480">
        <v>4</v>
      </c>
      <c r="B11" s="15"/>
      <c r="C11" s="15"/>
      <c r="D11" s="18"/>
      <c r="E11" s="17"/>
      <c r="F11" s="417"/>
      <c r="G11" s="348">
        <f t="shared" si="0"/>
      </c>
      <c r="H11" s="142"/>
      <c r="I11" s="417">
        <f t="shared" si="1"/>
        <v>0</v>
      </c>
      <c r="J11" s="17"/>
      <c r="K11" s="417"/>
      <c r="L11" s="64"/>
      <c r="M11" s="17"/>
      <c r="N11" s="17"/>
      <c r="O11" s="149">
        <f t="shared" si="2"/>
      </c>
      <c r="P11" s="64"/>
      <c r="Q11" s="61">
        <f t="shared" si="3"/>
        <v>0</v>
      </c>
      <c r="R11" s="160"/>
      <c r="S11" s="61">
        <f t="shared" si="4"/>
        <v>0</v>
      </c>
      <c r="T11" s="411"/>
      <c r="U11" s="272"/>
      <c r="V11" s="416">
        <f t="shared" si="5"/>
        <v>0</v>
      </c>
      <c r="W11" s="413">
        <f t="shared" si="6"/>
      </c>
      <c r="X11" s="412">
        <f t="shared" si="7"/>
      </c>
      <c r="Y11" s="412">
        <f t="shared" si="8"/>
      </c>
      <c r="Z11" s="385">
        <f t="shared" si="9"/>
      </c>
      <c r="AA11" s="413">
        <f t="shared" si="10"/>
      </c>
      <c r="AB11" s="61">
        <f t="shared" si="11"/>
        <v>0</v>
      </c>
      <c r="AC11" s="414">
        <f t="shared" si="12"/>
        <v>0</v>
      </c>
      <c r="AD11" s="146">
        <f t="shared" si="13"/>
        <v>0</v>
      </c>
      <c r="AE11" s="415"/>
      <c r="AF11" s="272"/>
      <c r="AG11" s="146">
        <f t="shared" si="14"/>
        <v>0</v>
      </c>
      <c r="AH11" s="146">
        <f t="shared" si="14"/>
        <v>0</v>
      </c>
      <c r="AI11" s="146">
        <f t="shared" si="15"/>
        <v>0</v>
      </c>
      <c r="AJ11" s="445"/>
    </row>
    <row r="12" spans="1:36" ht="18.75" customHeight="1">
      <c r="A12" s="480">
        <v>5</v>
      </c>
      <c r="B12" s="15"/>
      <c r="C12" s="15"/>
      <c r="D12" s="18"/>
      <c r="E12" s="17"/>
      <c r="F12" s="417"/>
      <c r="G12" s="348">
        <f t="shared" si="0"/>
      </c>
      <c r="H12" s="142"/>
      <c r="I12" s="417">
        <f t="shared" si="1"/>
        <v>0</v>
      </c>
      <c r="J12" s="17"/>
      <c r="K12" s="417"/>
      <c r="L12" s="64"/>
      <c r="M12" s="17"/>
      <c r="N12" s="17"/>
      <c r="O12" s="149">
        <f t="shared" si="2"/>
      </c>
      <c r="P12" s="64"/>
      <c r="Q12" s="61">
        <f t="shared" si="3"/>
        <v>0</v>
      </c>
      <c r="R12" s="160"/>
      <c r="S12" s="61">
        <f t="shared" si="4"/>
        <v>0</v>
      </c>
      <c r="T12" s="411"/>
      <c r="U12" s="272"/>
      <c r="V12" s="416">
        <f t="shared" si="5"/>
        <v>0</v>
      </c>
      <c r="W12" s="413">
        <f t="shared" si="6"/>
      </c>
      <c r="X12" s="412">
        <f t="shared" si="7"/>
      </c>
      <c r="Y12" s="412">
        <f t="shared" si="8"/>
      </c>
      <c r="Z12" s="385">
        <f t="shared" si="9"/>
      </c>
      <c r="AA12" s="413">
        <f t="shared" si="10"/>
      </c>
      <c r="AB12" s="61">
        <f t="shared" si="11"/>
        <v>0</v>
      </c>
      <c r="AC12" s="414">
        <f t="shared" si="12"/>
        <v>0</v>
      </c>
      <c r="AD12" s="146">
        <f t="shared" si="13"/>
        <v>0</v>
      </c>
      <c r="AE12" s="415"/>
      <c r="AF12" s="272"/>
      <c r="AG12" s="146">
        <f t="shared" si="14"/>
        <v>0</v>
      </c>
      <c r="AH12" s="146">
        <f t="shared" si="14"/>
        <v>0</v>
      </c>
      <c r="AI12" s="146">
        <f t="shared" si="15"/>
        <v>0</v>
      </c>
      <c r="AJ12" s="445"/>
    </row>
    <row r="13" spans="1:36" ht="18.75" customHeight="1">
      <c r="A13" s="480">
        <v>6</v>
      </c>
      <c r="B13" s="15"/>
      <c r="C13" s="15"/>
      <c r="D13" s="18"/>
      <c r="E13" s="17"/>
      <c r="F13" s="417"/>
      <c r="G13" s="348">
        <f t="shared" si="0"/>
      </c>
      <c r="H13" s="142"/>
      <c r="I13" s="417">
        <f t="shared" si="1"/>
        <v>0</v>
      </c>
      <c r="J13" s="17"/>
      <c r="K13" s="417"/>
      <c r="L13" s="64"/>
      <c r="M13" s="17"/>
      <c r="N13" s="17"/>
      <c r="O13" s="149">
        <f t="shared" si="2"/>
      </c>
      <c r="P13" s="64"/>
      <c r="Q13" s="61">
        <f t="shared" si="3"/>
        <v>0</v>
      </c>
      <c r="R13" s="160"/>
      <c r="S13" s="61">
        <f t="shared" si="4"/>
        <v>0</v>
      </c>
      <c r="T13" s="411"/>
      <c r="U13" s="272"/>
      <c r="V13" s="416">
        <f t="shared" si="5"/>
        <v>0</v>
      </c>
      <c r="W13" s="413">
        <f t="shared" si="6"/>
      </c>
      <c r="X13" s="412">
        <f t="shared" si="7"/>
      </c>
      <c r="Y13" s="412">
        <f t="shared" si="8"/>
      </c>
      <c r="Z13" s="385">
        <f t="shared" si="9"/>
      </c>
      <c r="AA13" s="413">
        <f t="shared" si="10"/>
      </c>
      <c r="AB13" s="61">
        <f t="shared" si="11"/>
        <v>0</v>
      </c>
      <c r="AC13" s="414">
        <f t="shared" si="12"/>
        <v>0</v>
      </c>
      <c r="AD13" s="146">
        <f t="shared" si="13"/>
        <v>0</v>
      </c>
      <c r="AE13" s="415"/>
      <c r="AF13" s="272"/>
      <c r="AG13" s="146">
        <f t="shared" si="14"/>
        <v>0</v>
      </c>
      <c r="AH13" s="146">
        <f t="shared" si="14"/>
        <v>0</v>
      </c>
      <c r="AI13" s="146">
        <f t="shared" si="15"/>
        <v>0</v>
      </c>
      <c r="AJ13" s="445"/>
    </row>
    <row r="14" spans="1:36" ht="18.75" customHeight="1">
      <c r="A14" s="480">
        <v>7</v>
      </c>
      <c r="B14" s="15"/>
      <c r="C14" s="15"/>
      <c r="D14" s="18"/>
      <c r="E14" s="17"/>
      <c r="F14" s="417"/>
      <c r="G14" s="348">
        <f t="shared" si="0"/>
      </c>
      <c r="H14" s="142"/>
      <c r="I14" s="417">
        <f t="shared" si="1"/>
        <v>0</v>
      </c>
      <c r="J14" s="17"/>
      <c r="K14" s="417"/>
      <c r="L14" s="64"/>
      <c r="M14" s="17"/>
      <c r="N14" s="17"/>
      <c r="O14" s="149">
        <f t="shared" si="2"/>
      </c>
      <c r="P14" s="64"/>
      <c r="Q14" s="61">
        <f t="shared" si="3"/>
        <v>0</v>
      </c>
      <c r="R14" s="160"/>
      <c r="S14" s="61">
        <f t="shared" si="4"/>
        <v>0</v>
      </c>
      <c r="T14" s="411"/>
      <c r="U14" s="272"/>
      <c r="V14" s="416">
        <f t="shared" si="5"/>
        <v>0</v>
      </c>
      <c r="W14" s="413">
        <f t="shared" si="6"/>
      </c>
      <c r="X14" s="412">
        <f t="shared" si="7"/>
      </c>
      <c r="Y14" s="412">
        <f t="shared" si="8"/>
      </c>
      <c r="Z14" s="385">
        <f t="shared" si="9"/>
      </c>
      <c r="AA14" s="413">
        <f t="shared" si="10"/>
      </c>
      <c r="AB14" s="61">
        <f t="shared" si="11"/>
        <v>0</v>
      </c>
      <c r="AC14" s="414">
        <f t="shared" si="12"/>
        <v>0</v>
      </c>
      <c r="AD14" s="146">
        <f t="shared" si="13"/>
        <v>0</v>
      </c>
      <c r="AE14" s="415"/>
      <c r="AF14" s="272"/>
      <c r="AG14" s="146">
        <f t="shared" si="14"/>
        <v>0</v>
      </c>
      <c r="AH14" s="146">
        <f t="shared" si="14"/>
        <v>0</v>
      </c>
      <c r="AI14" s="146">
        <f t="shared" si="15"/>
        <v>0</v>
      </c>
      <c r="AJ14" s="445"/>
    </row>
    <row r="15" spans="1:36" ht="18.75" customHeight="1">
      <c r="A15" s="480">
        <v>2</v>
      </c>
      <c r="B15" s="15"/>
      <c r="C15" s="15"/>
      <c r="D15" s="18"/>
      <c r="E15" s="17"/>
      <c r="F15" s="417"/>
      <c r="G15" s="348">
        <f t="shared" si="0"/>
      </c>
      <c r="H15" s="142"/>
      <c r="I15" s="417">
        <f t="shared" si="1"/>
        <v>0</v>
      </c>
      <c r="J15" s="17"/>
      <c r="K15" s="417"/>
      <c r="L15" s="64"/>
      <c r="M15" s="17"/>
      <c r="N15" s="17"/>
      <c r="O15" s="149">
        <f t="shared" si="2"/>
      </c>
      <c r="P15" s="64"/>
      <c r="Q15" s="61">
        <f t="shared" si="3"/>
        <v>0</v>
      </c>
      <c r="R15" s="160"/>
      <c r="S15" s="61">
        <f t="shared" si="4"/>
        <v>0</v>
      </c>
      <c r="T15" s="411"/>
      <c r="U15" s="272"/>
      <c r="V15" s="416">
        <f t="shared" si="5"/>
        <v>0</v>
      </c>
      <c r="W15" s="413">
        <f t="shared" si="6"/>
      </c>
      <c r="X15" s="412">
        <f t="shared" si="7"/>
      </c>
      <c r="Y15" s="412">
        <f t="shared" si="8"/>
      </c>
      <c r="Z15" s="385">
        <f t="shared" si="9"/>
      </c>
      <c r="AA15" s="413">
        <f t="shared" si="10"/>
      </c>
      <c r="AB15" s="61">
        <f t="shared" si="11"/>
        <v>0</v>
      </c>
      <c r="AC15" s="414">
        <f t="shared" si="12"/>
        <v>0</v>
      </c>
      <c r="AD15" s="146">
        <f t="shared" si="13"/>
        <v>0</v>
      </c>
      <c r="AE15" s="415"/>
      <c r="AF15" s="272"/>
      <c r="AG15" s="146">
        <f t="shared" si="14"/>
        <v>0</v>
      </c>
      <c r="AH15" s="146">
        <f t="shared" si="14"/>
        <v>0</v>
      </c>
      <c r="AI15" s="146">
        <f t="shared" si="15"/>
        <v>0</v>
      </c>
      <c r="AJ15" s="445"/>
    </row>
    <row r="16" spans="1:36" ht="18.75" customHeight="1">
      <c r="A16" s="480">
        <v>9</v>
      </c>
      <c r="B16" s="15"/>
      <c r="C16" s="15"/>
      <c r="D16" s="18"/>
      <c r="E16" s="17"/>
      <c r="F16" s="417"/>
      <c r="G16" s="348">
        <f t="shared" si="0"/>
      </c>
      <c r="H16" s="142"/>
      <c r="I16" s="417">
        <f t="shared" si="1"/>
        <v>0</v>
      </c>
      <c r="J16" s="17"/>
      <c r="K16" s="417"/>
      <c r="L16" s="64"/>
      <c r="M16" s="17"/>
      <c r="N16" s="17"/>
      <c r="O16" s="149">
        <f t="shared" si="2"/>
      </c>
      <c r="P16" s="64"/>
      <c r="Q16" s="61">
        <f t="shared" si="3"/>
        <v>0</v>
      </c>
      <c r="R16" s="160"/>
      <c r="S16" s="61">
        <f t="shared" si="4"/>
        <v>0</v>
      </c>
      <c r="T16" s="411"/>
      <c r="U16" s="272"/>
      <c r="V16" s="416">
        <f t="shared" si="5"/>
        <v>0</v>
      </c>
      <c r="W16" s="413">
        <f t="shared" si="6"/>
      </c>
      <c r="X16" s="412">
        <f t="shared" si="7"/>
      </c>
      <c r="Y16" s="412">
        <f t="shared" si="8"/>
      </c>
      <c r="Z16" s="385">
        <f t="shared" si="9"/>
      </c>
      <c r="AA16" s="413">
        <f t="shared" si="10"/>
      </c>
      <c r="AB16" s="61">
        <f t="shared" si="11"/>
        <v>0</v>
      </c>
      <c r="AC16" s="414">
        <f t="shared" si="12"/>
        <v>0</v>
      </c>
      <c r="AD16" s="146">
        <f t="shared" si="13"/>
        <v>0</v>
      </c>
      <c r="AE16" s="415"/>
      <c r="AF16" s="272"/>
      <c r="AG16" s="146">
        <f t="shared" si="14"/>
        <v>0</v>
      </c>
      <c r="AH16" s="146">
        <f t="shared" si="14"/>
        <v>0</v>
      </c>
      <c r="AI16" s="146">
        <f t="shared" si="15"/>
        <v>0</v>
      </c>
      <c r="AJ16" s="445"/>
    </row>
    <row r="17" spans="1:36" ht="18.75" customHeight="1">
      <c r="A17" s="480">
        <v>10</v>
      </c>
      <c r="B17" s="15"/>
      <c r="C17" s="15"/>
      <c r="D17" s="18"/>
      <c r="E17" s="17"/>
      <c r="F17" s="417"/>
      <c r="G17" s="348">
        <f t="shared" si="0"/>
      </c>
      <c r="H17" s="142"/>
      <c r="I17" s="417">
        <f t="shared" si="1"/>
        <v>0</v>
      </c>
      <c r="J17" s="17"/>
      <c r="K17" s="417"/>
      <c r="L17" s="64"/>
      <c r="M17" s="17"/>
      <c r="N17" s="17"/>
      <c r="O17" s="149">
        <f t="shared" si="2"/>
      </c>
      <c r="P17" s="64"/>
      <c r="Q17" s="61">
        <f t="shared" si="3"/>
        <v>0</v>
      </c>
      <c r="R17" s="160"/>
      <c r="S17" s="61">
        <f t="shared" si="4"/>
        <v>0</v>
      </c>
      <c r="T17" s="411"/>
      <c r="U17" s="272"/>
      <c r="V17" s="416">
        <f t="shared" si="5"/>
        <v>0</v>
      </c>
      <c r="W17" s="413">
        <f t="shared" si="6"/>
      </c>
      <c r="X17" s="412">
        <f t="shared" si="7"/>
      </c>
      <c r="Y17" s="412">
        <f t="shared" si="8"/>
      </c>
      <c r="Z17" s="385">
        <f t="shared" si="9"/>
      </c>
      <c r="AA17" s="413">
        <f t="shared" si="10"/>
      </c>
      <c r="AB17" s="61">
        <f t="shared" si="11"/>
        <v>0</v>
      </c>
      <c r="AC17" s="414">
        <f t="shared" si="12"/>
        <v>0</v>
      </c>
      <c r="AD17" s="146">
        <f t="shared" si="13"/>
        <v>0</v>
      </c>
      <c r="AE17" s="415"/>
      <c r="AF17" s="272"/>
      <c r="AG17" s="146">
        <f t="shared" si="14"/>
        <v>0</v>
      </c>
      <c r="AH17" s="146">
        <f t="shared" si="14"/>
        <v>0</v>
      </c>
      <c r="AI17" s="146">
        <f t="shared" si="15"/>
        <v>0</v>
      </c>
      <c r="AJ17" s="445"/>
    </row>
    <row r="18" spans="1:36" ht="18.75" customHeight="1">
      <c r="A18" s="480">
        <v>11</v>
      </c>
      <c r="B18" s="15"/>
      <c r="C18" s="15"/>
      <c r="D18" s="18"/>
      <c r="E18" s="17"/>
      <c r="F18" s="417"/>
      <c r="G18" s="348">
        <f t="shared" si="0"/>
      </c>
      <c r="H18" s="142"/>
      <c r="I18" s="417">
        <f t="shared" si="1"/>
        <v>0</v>
      </c>
      <c r="J18" s="17"/>
      <c r="K18" s="417"/>
      <c r="L18" s="64"/>
      <c r="M18" s="17"/>
      <c r="N18" s="17"/>
      <c r="O18" s="149">
        <f t="shared" si="2"/>
      </c>
      <c r="P18" s="64"/>
      <c r="Q18" s="61">
        <f t="shared" si="3"/>
        <v>0</v>
      </c>
      <c r="R18" s="160"/>
      <c r="S18" s="61">
        <f t="shared" si="4"/>
        <v>0</v>
      </c>
      <c r="T18" s="411"/>
      <c r="U18" s="272"/>
      <c r="V18" s="416">
        <f t="shared" si="5"/>
        <v>0</v>
      </c>
      <c r="W18" s="413">
        <f t="shared" si="6"/>
      </c>
      <c r="X18" s="412">
        <f t="shared" si="7"/>
      </c>
      <c r="Y18" s="412">
        <f t="shared" si="8"/>
      </c>
      <c r="Z18" s="385">
        <f t="shared" si="9"/>
      </c>
      <c r="AA18" s="413">
        <f t="shared" si="10"/>
      </c>
      <c r="AB18" s="61">
        <f t="shared" si="11"/>
        <v>0</v>
      </c>
      <c r="AC18" s="414">
        <f t="shared" si="12"/>
        <v>0</v>
      </c>
      <c r="AD18" s="146">
        <f t="shared" si="13"/>
        <v>0</v>
      </c>
      <c r="AE18" s="415"/>
      <c r="AF18" s="272"/>
      <c r="AG18" s="146">
        <f t="shared" si="14"/>
        <v>0</v>
      </c>
      <c r="AH18" s="146">
        <f t="shared" si="14"/>
        <v>0</v>
      </c>
      <c r="AI18" s="146">
        <f t="shared" si="15"/>
        <v>0</v>
      </c>
      <c r="AJ18" s="445"/>
    </row>
    <row r="19" spans="1:36" ht="18.75" customHeight="1">
      <c r="A19" s="480">
        <v>12</v>
      </c>
      <c r="B19" s="15"/>
      <c r="C19" s="15"/>
      <c r="D19" s="18"/>
      <c r="E19" s="17"/>
      <c r="F19" s="417"/>
      <c r="G19" s="348">
        <f t="shared" si="0"/>
      </c>
      <c r="H19" s="142"/>
      <c r="I19" s="417">
        <f t="shared" si="1"/>
        <v>0</v>
      </c>
      <c r="J19" s="17"/>
      <c r="K19" s="417"/>
      <c r="L19" s="64"/>
      <c r="M19" s="17"/>
      <c r="N19" s="17"/>
      <c r="O19" s="149">
        <f t="shared" si="2"/>
      </c>
      <c r="P19" s="64"/>
      <c r="Q19" s="61">
        <f t="shared" si="3"/>
        <v>0</v>
      </c>
      <c r="R19" s="160"/>
      <c r="S19" s="61">
        <f t="shared" si="4"/>
        <v>0</v>
      </c>
      <c r="T19" s="411"/>
      <c r="U19" s="272"/>
      <c r="V19" s="416">
        <f t="shared" si="5"/>
        <v>0</v>
      </c>
      <c r="W19" s="413">
        <f t="shared" si="6"/>
      </c>
      <c r="X19" s="412">
        <f t="shared" si="7"/>
      </c>
      <c r="Y19" s="412">
        <f t="shared" si="8"/>
      </c>
      <c r="Z19" s="385">
        <f t="shared" si="9"/>
      </c>
      <c r="AA19" s="413">
        <f t="shared" si="10"/>
      </c>
      <c r="AB19" s="61">
        <f t="shared" si="11"/>
        <v>0</v>
      </c>
      <c r="AC19" s="414">
        <f t="shared" si="12"/>
        <v>0</v>
      </c>
      <c r="AD19" s="146">
        <f t="shared" si="13"/>
        <v>0</v>
      </c>
      <c r="AE19" s="415"/>
      <c r="AF19" s="272"/>
      <c r="AG19" s="146">
        <f t="shared" si="14"/>
        <v>0</v>
      </c>
      <c r="AH19" s="146">
        <f t="shared" si="14"/>
        <v>0</v>
      </c>
      <c r="AI19" s="146">
        <f t="shared" si="15"/>
        <v>0</v>
      </c>
      <c r="AJ19" s="445"/>
    </row>
    <row r="20" spans="1:36" ht="18.75" customHeight="1">
      <c r="A20" s="480">
        <v>13</v>
      </c>
      <c r="B20" s="15"/>
      <c r="C20" s="15"/>
      <c r="D20" s="18"/>
      <c r="E20" s="17"/>
      <c r="F20" s="417"/>
      <c r="G20" s="348">
        <f t="shared" si="0"/>
      </c>
      <c r="H20" s="142"/>
      <c r="I20" s="417">
        <f t="shared" si="1"/>
        <v>0</v>
      </c>
      <c r="J20" s="17"/>
      <c r="K20" s="417"/>
      <c r="L20" s="64"/>
      <c r="M20" s="17"/>
      <c r="N20" s="17"/>
      <c r="O20" s="149">
        <f t="shared" si="2"/>
      </c>
      <c r="P20" s="64"/>
      <c r="Q20" s="61">
        <f t="shared" si="3"/>
        <v>0</v>
      </c>
      <c r="R20" s="160"/>
      <c r="S20" s="61">
        <f t="shared" si="4"/>
        <v>0</v>
      </c>
      <c r="T20" s="411"/>
      <c r="U20" s="272"/>
      <c r="V20" s="416">
        <f t="shared" si="5"/>
        <v>0</v>
      </c>
      <c r="W20" s="413">
        <f t="shared" si="6"/>
      </c>
      <c r="X20" s="412">
        <f t="shared" si="7"/>
      </c>
      <c r="Y20" s="412">
        <f t="shared" si="8"/>
      </c>
      <c r="Z20" s="385">
        <f t="shared" si="9"/>
      </c>
      <c r="AA20" s="413">
        <f t="shared" si="10"/>
      </c>
      <c r="AB20" s="61">
        <f t="shared" si="11"/>
        <v>0</v>
      </c>
      <c r="AC20" s="414">
        <f t="shared" si="12"/>
        <v>0</v>
      </c>
      <c r="AD20" s="146">
        <f t="shared" si="13"/>
        <v>0</v>
      </c>
      <c r="AE20" s="415"/>
      <c r="AF20" s="272"/>
      <c r="AG20" s="146">
        <f t="shared" si="14"/>
        <v>0</v>
      </c>
      <c r="AH20" s="146">
        <f t="shared" si="14"/>
        <v>0</v>
      </c>
      <c r="AI20" s="146">
        <f t="shared" si="15"/>
        <v>0</v>
      </c>
      <c r="AJ20" s="445"/>
    </row>
    <row r="21" spans="1:36" ht="18.75" customHeight="1">
      <c r="A21" s="480">
        <v>14</v>
      </c>
      <c r="B21" s="15"/>
      <c r="C21" s="15"/>
      <c r="D21" s="18"/>
      <c r="E21" s="17"/>
      <c r="F21" s="417"/>
      <c r="G21" s="348">
        <f t="shared" si="0"/>
      </c>
      <c r="H21" s="142"/>
      <c r="I21" s="417">
        <f t="shared" si="1"/>
        <v>0</v>
      </c>
      <c r="J21" s="17"/>
      <c r="K21" s="417"/>
      <c r="L21" s="64"/>
      <c r="M21" s="17"/>
      <c r="N21" s="17"/>
      <c r="O21" s="149">
        <f t="shared" si="2"/>
      </c>
      <c r="P21" s="64"/>
      <c r="Q21" s="61">
        <f t="shared" si="3"/>
        <v>0</v>
      </c>
      <c r="R21" s="160"/>
      <c r="S21" s="61">
        <f t="shared" si="4"/>
        <v>0</v>
      </c>
      <c r="T21" s="411"/>
      <c r="U21" s="272"/>
      <c r="V21" s="416">
        <f t="shared" si="5"/>
        <v>0</v>
      </c>
      <c r="W21" s="413">
        <f t="shared" si="6"/>
      </c>
      <c r="X21" s="412">
        <f t="shared" si="7"/>
      </c>
      <c r="Y21" s="412">
        <f t="shared" si="8"/>
      </c>
      <c r="Z21" s="385">
        <f t="shared" si="9"/>
      </c>
      <c r="AA21" s="413">
        <f t="shared" si="10"/>
      </c>
      <c r="AB21" s="61">
        <f t="shared" si="11"/>
        <v>0</v>
      </c>
      <c r="AC21" s="414">
        <f t="shared" si="12"/>
        <v>0</v>
      </c>
      <c r="AD21" s="146">
        <f t="shared" si="13"/>
        <v>0</v>
      </c>
      <c r="AE21" s="415"/>
      <c r="AF21" s="272"/>
      <c r="AG21" s="146">
        <f t="shared" si="14"/>
        <v>0</v>
      </c>
      <c r="AH21" s="146">
        <f t="shared" si="14"/>
        <v>0</v>
      </c>
      <c r="AI21" s="146">
        <f t="shared" si="15"/>
        <v>0</v>
      </c>
      <c r="AJ21" s="445"/>
    </row>
    <row r="22" spans="1:36" ht="18.75" customHeight="1">
      <c r="A22" s="480">
        <v>15</v>
      </c>
      <c r="B22" s="15"/>
      <c r="C22" s="15"/>
      <c r="D22" s="18"/>
      <c r="E22" s="17"/>
      <c r="F22" s="417"/>
      <c r="G22" s="348">
        <f t="shared" si="0"/>
      </c>
      <c r="H22" s="142"/>
      <c r="I22" s="417">
        <f t="shared" si="1"/>
        <v>0</v>
      </c>
      <c r="J22" s="17"/>
      <c r="K22" s="417"/>
      <c r="L22" s="64"/>
      <c r="M22" s="17"/>
      <c r="N22" s="17"/>
      <c r="O22" s="149">
        <f t="shared" si="2"/>
      </c>
      <c r="P22" s="64"/>
      <c r="Q22" s="61">
        <f t="shared" si="3"/>
        <v>0</v>
      </c>
      <c r="R22" s="160"/>
      <c r="S22" s="61">
        <f t="shared" si="4"/>
        <v>0</v>
      </c>
      <c r="T22" s="411"/>
      <c r="U22" s="272"/>
      <c r="V22" s="416">
        <f t="shared" si="5"/>
        <v>0</v>
      </c>
      <c r="W22" s="413">
        <f t="shared" si="6"/>
      </c>
      <c r="X22" s="412">
        <f t="shared" si="7"/>
      </c>
      <c r="Y22" s="412">
        <f t="shared" si="8"/>
      </c>
      <c r="Z22" s="385">
        <f t="shared" si="9"/>
      </c>
      <c r="AA22" s="413">
        <f t="shared" si="10"/>
      </c>
      <c r="AB22" s="61">
        <f t="shared" si="11"/>
        <v>0</v>
      </c>
      <c r="AC22" s="414">
        <f t="shared" si="12"/>
        <v>0</v>
      </c>
      <c r="AD22" s="146">
        <f t="shared" si="13"/>
        <v>0</v>
      </c>
      <c r="AE22" s="415"/>
      <c r="AF22" s="272"/>
      <c r="AG22" s="146">
        <f t="shared" si="14"/>
        <v>0</v>
      </c>
      <c r="AH22" s="146">
        <f t="shared" si="14"/>
        <v>0</v>
      </c>
      <c r="AI22" s="146">
        <f t="shared" si="15"/>
        <v>0</v>
      </c>
      <c r="AJ22" s="445"/>
    </row>
    <row r="23" spans="1:36" ht="18.75" customHeight="1">
      <c r="A23" s="480">
        <v>16</v>
      </c>
      <c r="B23" s="15"/>
      <c r="C23" s="15"/>
      <c r="D23" s="18"/>
      <c r="E23" s="17"/>
      <c r="F23" s="417"/>
      <c r="G23" s="348">
        <f t="shared" si="0"/>
      </c>
      <c r="H23" s="142"/>
      <c r="I23" s="417">
        <f t="shared" si="1"/>
        <v>0</v>
      </c>
      <c r="J23" s="17"/>
      <c r="K23" s="417"/>
      <c r="L23" s="64"/>
      <c r="M23" s="17"/>
      <c r="N23" s="17"/>
      <c r="O23" s="149">
        <f t="shared" si="2"/>
      </c>
      <c r="P23" s="64"/>
      <c r="Q23" s="61">
        <f t="shared" si="3"/>
        <v>0</v>
      </c>
      <c r="R23" s="160"/>
      <c r="S23" s="61">
        <f t="shared" si="4"/>
        <v>0</v>
      </c>
      <c r="T23" s="411"/>
      <c r="U23" s="272"/>
      <c r="V23" s="416">
        <f t="shared" si="5"/>
        <v>0</v>
      </c>
      <c r="W23" s="413">
        <f t="shared" si="6"/>
      </c>
      <c r="X23" s="412">
        <f t="shared" si="7"/>
      </c>
      <c r="Y23" s="412">
        <f t="shared" si="8"/>
      </c>
      <c r="Z23" s="385">
        <f t="shared" si="9"/>
      </c>
      <c r="AA23" s="413">
        <f t="shared" si="10"/>
      </c>
      <c r="AB23" s="61">
        <f t="shared" si="11"/>
        <v>0</v>
      </c>
      <c r="AC23" s="414">
        <f t="shared" si="12"/>
        <v>0</v>
      </c>
      <c r="AD23" s="146">
        <f t="shared" si="13"/>
        <v>0</v>
      </c>
      <c r="AE23" s="415"/>
      <c r="AF23" s="272"/>
      <c r="AG23" s="146">
        <f t="shared" si="14"/>
        <v>0</v>
      </c>
      <c r="AH23" s="146">
        <f t="shared" si="14"/>
        <v>0</v>
      </c>
      <c r="AI23" s="146">
        <f t="shared" si="15"/>
        <v>0</v>
      </c>
      <c r="AJ23" s="445"/>
    </row>
    <row r="24" spans="1:36" ht="18.75" customHeight="1">
      <c r="A24" s="480">
        <v>17</v>
      </c>
      <c r="B24" s="15"/>
      <c r="C24" s="15"/>
      <c r="D24" s="18"/>
      <c r="E24" s="17"/>
      <c r="F24" s="417"/>
      <c r="G24" s="348">
        <f t="shared" si="0"/>
      </c>
      <c r="H24" s="142"/>
      <c r="I24" s="417">
        <f t="shared" si="1"/>
        <v>0</v>
      </c>
      <c r="J24" s="17"/>
      <c r="K24" s="417"/>
      <c r="L24" s="64"/>
      <c r="M24" s="17"/>
      <c r="N24" s="17"/>
      <c r="O24" s="149">
        <f t="shared" si="2"/>
      </c>
      <c r="P24" s="64"/>
      <c r="Q24" s="61">
        <f t="shared" si="3"/>
        <v>0</v>
      </c>
      <c r="R24" s="160"/>
      <c r="S24" s="61">
        <f t="shared" si="4"/>
        <v>0</v>
      </c>
      <c r="T24" s="411"/>
      <c r="U24" s="272"/>
      <c r="V24" s="416">
        <f t="shared" si="5"/>
        <v>0</v>
      </c>
      <c r="W24" s="413">
        <f t="shared" si="6"/>
      </c>
      <c r="X24" s="412">
        <f t="shared" si="7"/>
      </c>
      <c r="Y24" s="412">
        <f t="shared" si="8"/>
      </c>
      <c r="Z24" s="385">
        <f t="shared" si="9"/>
      </c>
      <c r="AA24" s="413">
        <f t="shared" si="10"/>
      </c>
      <c r="AB24" s="61">
        <f t="shared" si="11"/>
        <v>0</v>
      </c>
      <c r="AC24" s="414">
        <f t="shared" si="12"/>
        <v>0</v>
      </c>
      <c r="AD24" s="146">
        <f t="shared" si="13"/>
        <v>0</v>
      </c>
      <c r="AE24" s="415"/>
      <c r="AF24" s="272"/>
      <c r="AG24" s="146">
        <f t="shared" si="14"/>
        <v>0</v>
      </c>
      <c r="AH24" s="146">
        <f t="shared" si="14"/>
        <v>0</v>
      </c>
      <c r="AI24" s="146">
        <f t="shared" si="15"/>
        <v>0</v>
      </c>
      <c r="AJ24" s="445"/>
    </row>
    <row r="25" spans="1:36" ht="18.75" customHeight="1">
      <c r="A25" s="480">
        <v>18</v>
      </c>
      <c r="B25" s="15"/>
      <c r="C25" s="15"/>
      <c r="D25" s="18"/>
      <c r="E25" s="17"/>
      <c r="F25" s="417"/>
      <c r="G25" s="348">
        <f t="shared" si="0"/>
      </c>
      <c r="H25" s="142"/>
      <c r="I25" s="417">
        <f t="shared" si="1"/>
        <v>0</v>
      </c>
      <c r="J25" s="17"/>
      <c r="K25" s="417"/>
      <c r="L25" s="64"/>
      <c r="M25" s="17"/>
      <c r="N25" s="17"/>
      <c r="O25" s="149">
        <f t="shared" si="2"/>
      </c>
      <c r="P25" s="64"/>
      <c r="Q25" s="61">
        <f t="shared" si="3"/>
        <v>0</v>
      </c>
      <c r="R25" s="160"/>
      <c r="S25" s="61">
        <f t="shared" si="4"/>
        <v>0</v>
      </c>
      <c r="T25" s="411"/>
      <c r="U25" s="272"/>
      <c r="V25" s="416">
        <f t="shared" si="5"/>
        <v>0</v>
      </c>
      <c r="W25" s="413">
        <f t="shared" si="6"/>
      </c>
      <c r="X25" s="412">
        <f t="shared" si="7"/>
      </c>
      <c r="Y25" s="412">
        <f t="shared" si="8"/>
      </c>
      <c r="Z25" s="385">
        <f t="shared" si="9"/>
      </c>
      <c r="AA25" s="413">
        <f t="shared" si="10"/>
      </c>
      <c r="AB25" s="61">
        <f t="shared" si="11"/>
        <v>0</v>
      </c>
      <c r="AC25" s="414">
        <f t="shared" si="12"/>
        <v>0</v>
      </c>
      <c r="AD25" s="146">
        <f t="shared" si="13"/>
        <v>0</v>
      </c>
      <c r="AE25" s="415"/>
      <c r="AF25" s="272"/>
      <c r="AG25" s="146">
        <f t="shared" si="14"/>
        <v>0</v>
      </c>
      <c r="AH25" s="146">
        <f t="shared" si="14"/>
        <v>0</v>
      </c>
      <c r="AI25" s="146">
        <f t="shared" si="15"/>
        <v>0</v>
      </c>
      <c r="AJ25" s="445"/>
    </row>
    <row r="26" spans="1:36" s="56" customFormat="1" ht="12.75" customHeight="1">
      <c r="A26" s="533" t="s">
        <v>18</v>
      </c>
      <c r="B26" s="45" t="str">
        <f>"TOTALE "&amp;IF(riepilogo!scelta="I","PROCESSI","RICERCA")</f>
        <v>TOTALE RICERCA</v>
      </c>
      <c r="C26" s="122"/>
      <c r="D26" s="594">
        <f>COUNTA(D8:D25)</f>
        <v>0</v>
      </c>
      <c r="E26" s="62"/>
      <c r="F26" s="589"/>
      <c r="G26" s="354"/>
      <c r="H26" s="54"/>
      <c r="I26" s="156"/>
      <c r="J26" s="62"/>
      <c r="K26" s="55">
        <f>IF($F8=0,0,IF(riepilogo!scelta="I",SUMIF($L8:$L25,"P",K8:K25),SUMIF($L8:$L25,"R",K8:K25)))</f>
        <v>0</v>
      </c>
      <c r="L26" s="63"/>
      <c r="M26" s="54"/>
      <c r="O26" s="45"/>
      <c r="P26" s="63"/>
      <c r="Q26" s="55">
        <f>IF($F8=0,0,IF(riepilogo!scelta="I",SUMIF($L8:$L25,"P",Q8:Q25),SUMIF($L8:$L25,"R",Q8:Q25)))</f>
        <v>0</v>
      </c>
      <c r="R26" s="55">
        <f>IF($F8=0,0,IF(riepilogo!scelta="I",SUMIF($L8:$L25,"P",R8:R25),SUMIF($L8:$L25,"R",R8:R25)))</f>
        <v>0</v>
      </c>
      <c r="S26" s="55">
        <f>IF($F8=0,0,IF(riepilogo!scelta="I",SUMIF($L8:$L25,"P",S8:S25),SUMIF($L8:$L25,"R",S8:S25)))</f>
        <v>0</v>
      </c>
      <c r="T26" s="606">
        <f>COUNTIF(T8:T25,"=x")</f>
        <v>0</v>
      </c>
      <c r="U26" s="605" t="e">
        <f>ROUNDDOWN(T26/D26,4)</f>
        <v>#DIV/0!</v>
      </c>
      <c r="V26" s="153">
        <f>IF($F$8=0,0,IF(riepilogo!scelta="I",SUMIF($W$8:$W$25,"P",V$8:V$25),SUMIF($W$8:$W$25,"R",V$8:V$25)))</f>
        <v>0</v>
      </c>
      <c r="W26" s="400"/>
      <c r="X26" s="397"/>
      <c r="Y26" s="398"/>
      <c r="Z26" s="399"/>
      <c r="AA26" s="400"/>
      <c r="AB26" s="153">
        <f>IF($F$8=0,0,IF(riepilogo!scelta="I",SUMIF($W$8:$W$25,"P",AB$8:AB$25),SUMIF($W$8:$W$25,"R",AB$8:AB$25)))</f>
        <v>0</v>
      </c>
      <c r="AC26" s="153">
        <f>IF($F$8=0,0,IF(riepilogo!scelta="I",SUMIF($W$8:$W$25,"P",AC$8:AC$25),SUMIF($W$8:$W$25,"R",AC$8:AC$25)))</f>
        <v>0</v>
      </c>
      <c r="AD26" s="153">
        <f>IF($F$8=0,0,IF(riepilogo!scelta="I",SUMIF($W$8:$W$25,"P",AD$8:AD$25),SUMIF($W$8:$W$25,"R",AD$8:AD$25)))</f>
        <v>0</v>
      </c>
      <c r="AE26" s="476"/>
      <c r="AF26" s="273"/>
      <c r="AG26" s="153">
        <f>IF($F$8=0,0,IF(riepilogo!scelta="I",SUMIF($W$8:$W$25,"P",AG$8:AG$25),SUMIF($W$8:$W$25,"R",AG$8:AG$25)))</f>
        <v>0</v>
      </c>
      <c r="AH26" s="153">
        <f>IF($F$8=0,0,IF(riepilogo!scelta="I",SUMIF($W$8:$W$25,"P",AH$8:AH$25),SUMIF($W$8:$W$25,"R",AH$8:AH$25)))</f>
        <v>0</v>
      </c>
      <c r="AI26" s="153">
        <f>IF($F$8=0,0,IF(riepilogo!scelta="I",SUMIF($W$8:$W$25,"P",AI$8:AI$25),SUMIF($W$8:$W$25,"R",AI$8:AI$25)))</f>
        <v>0</v>
      </c>
      <c r="AJ26" s="447"/>
    </row>
    <row r="27" spans="1:36" s="56" customFormat="1" ht="12.75" customHeight="1">
      <c r="A27" s="480"/>
      <c r="B27" s="45" t="str">
        <f>"TOTALE "&amp;IF(riepilogo!scelta="I","ORGANIZZAZIONE","SVILUPPO")</f>
        <v>TOTALE SVILUPPO</v>
      </c>
      <c r="C27" s="122"/>
      <c r="D27" s="53"/>
      <c r="E27" s="62"/>
      <c r="F27" s="590"/>
      <c r="G27" s="354"/>
      <c r="H27" s="54"/>
      <c r="I27" s="156"/>
      <c r="J27" s="62"/>
      <c r="K27" s="55">
        <f>IF($F8=0,0,IF(riepilogo!scelta="I",SUMIF($L8:$L25,"O",K8:K25),SUMIF($L8:$L25,"S",K8:K25)))</f>
        <v>0</v>
      </c>
      <c r="L27" s="63"/>
      <c r="M27" s="54"/>
      <c r="O27" s="45"/>
      <c r="P27" s="63"/>
      <c r="Q27" s="55">
        <f>IF($F8=0,0,IF(riepilogo!scelta="I",SUMIF($L8:$L25,"O",Q8:Q25),SUMIF($L8:$L25,"S",Q8:Q25)))</f>
        <v>0</v>
      </c>
      <c r="R27" s="55">
        <f>IF($F8=0,0,IF(riepilogo!scelta="I",SUMIF($L8:$L25,"O",R8:R25),SUMIF($L8:$L25,"S",R8:R25)))</f>
        <v>0</v>
      </c>
      <c r="S27" s="55">
        <f>IF($F8=0,0,IF(riepilogo!scelta="I",SUMIF($L8:$L25,"O",S8:S25),SUMIF($L8:$L25,"S",S8:S25)))</f>
        <v>0</v>
      </c>
      <c r="T27" s="410">
        <f>IF(AND(S26=0,S27=0),0,SUMIF(T8:T25,"x",S8:S25))</f>
        <v>0</v>
      </c>
      <c r="U27" s="605" t="e">
        <f>ROUNDDOWN(T27/S28,4)</f>
        <v>#DIV/0!</v>
      </c>
      <c r="V27" s="153">
        <f>IF($F$8=0,0,IF(riepilogo!scelta="I",SUMIF($W$8:$W$25,"O",V$8:V$25),SUMIF($W$8:$W$25,"S",V$8:V$25)))</f>
        <v>0</v>
      </c>
      <c r="W27" s="400"/>
      <c r="X27" s="397"/>
      <c r="Y27" s="398"/>
      <c r="Z27" s="399"/>
      <c r="AA27" s="400"/>
      <c r="AB27" s="153">
        <f>IF($F$8=0,0,IF(riepilogo!scelta="I",SUMIF($W$8:$W$25,"O",AB$8:AB$25),SUMIF($W$8:$W$25,"S",AB$8:AB$25)))</f>
        <v>0</v>
      </c>
      <c r="AC27" s="153">
        <f>IF($F$8=0,0,IF(riepilogo!scelta="I",SUMIF($W$8:$W$25,"O",AC$8:AC$25),SUMIF($W$8:$W$25,"S",AC$8:AC$25)))</f>
        <v>0</v>
      </c>
      <c r="AD27" s="153">
        <f>IF($F$8=0,0,IF(riepilogo!scelta="I",SUMIF($W$8:$W$25,"O",AD$8:AD$25),SUMIF($W$8:$W$25,"S",AD$8:AD$25)))</f>
        <v>0</v>
      </c>
      <c r="AE27" s="269">
        <f>IF(AND(AD26=0,AD27=0),0,SUMIF(AE8:AE25,"x",AD8:AD25))</f>
        <v>0</v>
      </c>
      <c r="AF27" s="605" t="e">
        <f>ROUNDDOWN(AE27/AD28,4)</f>
        <v>#DIV/0!</v>
      </c>
      <c r="AG27" s="153">
        <f>IF($F$8=0,0,IF(riepilogo!scelta="I",SUMIF($W$8:$W$25,"O",AG$8:AG$25),SUMIF($W$8:$W$25,"S",AG$8:AG$25)))</f>
        <v>0</v>
      </c>
      <c r="AH27" s="153">
        <f>IF($F$8=0,0,IF(riepilogo!scelta="I",SUMIF($W$8:$W$25,"O",AH$8:AH$25),SUMIF($W$8:$W$25,"S",AH$8:AH$25)))</f>
        <v>0</v>
      </c>
      <c r="AI27" s="153">
        <f>IF($F$8=0,0,IF(riepilogo!scelta="I",SUMIF($W$8:$W$25,"O",AI$8:AI$25),SUMIF($W$8:$W$25,"S",AI$8:AI$25)))</f>
        <v>0</v>
      </c>
      <c r="AJ27" s="447"/>
    </row>
    <row r="28" spans="2:35" ht="46.5" customHeight="1">
      <c r="B28" s="678" t="s">
        <v>157</v>
      </c>
      <c r="C28" s="678"/>
      <c r="D28" s="678"/>
      <c r="E28" s="678"/>
      <c r="F28" s="678"/>
      <c r="G28" s="678"/>
      <c r="H28" s="678"/>
      <c r="I28" s="678"/>
      <c r="J28" s="678"/>
      <c r="K28" s="678"/>
      <c r="L28" s="678"/>
      <c r="M28" s="678"/>
      <c r="N28" s="678"/>
      <c r="O28" s="678"/>
      <c r="P28" s="678"/>
      <c r="Q28" s="580">
        <f>SUM(Q26:Q27)</f>
        <v>0</v>
      </c>
      <c r="R28" s="586">
        <f aca="true" t="shared" si="16" ref="R28:AI28">SUM(R26:R27)</f>
        <v>0</v>
      </c>
      <c r="S28" s="580">
        <f t="shared" si="16"/>
        <v>0</v>
      </c>
      <c r="T28" s="587"/>
      <c r="U28" s="207" t="e">
        <f t="shared" si="16"/>
        <v>#DIV/0!</v>
      </c>
      <c r="V28" s="588">
        <f t="shared" si="16"/>
        <v>0</v>
      </c>
      <c r="W28" s="588"/>
      <c r="X28" s="588"/>
      <c r="Y28" s="588"/>
      <c r="Z28" s="588"/>
      <c r="AA28" s="588"/>
      <c r="AB28" s="588">
        <f t="shared" si="16"/>
        <v>0</v>
      </c>
      <c r="AC28" s="567">
        <f t="shared" si="16"/>
        <v>0</v>
      </c>
      <c r="AD28" s="585">
        <f t="shared" si="16"/>
        <v>0</v>
      </c>
      <c r="AE28" s="585">
        <f t="shared" si="16"/>
        <v>0</v>
      </c>
      <c r="AF28" s="588" t="e">
        <f t="shared" si="16"/>
        <v>#DIV/0!</v>
      </c>
      <c r="AG28" s="585">
        <f t="shared" si="16"/>
        <v>0</v>
      </c>
      <c r="AH28" s="585">
        <f t="shared" si="16"/>
        <v>0</v>
      </c>
      <c r="AI28" s="585">
        <f t="shared" si="16"/>
        <v>0</v>
      </c>
    </row>
  </sheetData>
  <sheetProtection password="CC84" sheet="1" objects="1" scenarios="1" formatColumns="0" formatRows="0"/>
  <mergeCells count="13">
    <mergeCell ref="AJ6:AJ7"/>
    <mergeCell ref="B6:B7"/>
    <mergeCell ref="G6:J6"/>
    <mergeCell ref="D6:F6"/>
    <mergeCell ref="T6:T7"/>
    <mergeCell ref="AE6:AE7"/>
    <mergeCell ref="C6:C7"/>
    <mergeCell ref="V6:AD6"/>
    <mergeCell ref="AG6:AI6"/>
    <mergeCell ref="U6:U7"/>
    <mergeCell ref="AF6:AF7"/>
    <mergeCell ref="K6:S6"/>
    <mergeCell ref="B28:P28"/>
  </mergeCells>
  <conditionalFormatting sqref="AE8:AE25">
    <cfRule type="cellIs" priority="1" dxfId="2" operator="notEqual" stopIfTrue="1">
      <formula>T8</formula>
    </cfRule>
  </conditionalFormatting>
  <conditionalFormatting sqref="AB8:AB25">
    <cfRule type="cellIs" priority="2" dxfId="2" operator="greaterThan" stopIfTrue="1">
      <formula>V8</formula>
    </cfRule>
  </conditionalFormatting>
  <conditionalFormatting sqref="E8:E25">
    <cfRule type="cellIs" priority="3" dxfId="2" operator="lessThan" stopIfTrue="1">
      <formula>$D$1</formula>
    </cfRule>
    <cfRule type="cellIs" priority="4" dxfId="2" operator="greaterThan" stopIfTrue="1">
      <formula>$D$2</formula>
    </cfRule>
  </conditionalFormatting>
  <conditionalFormatting sqref="M8:M25">
    <cfRule type="cellIs" priority="5" dxfId="2" operator="lessThan" stopIfTrue="1">
      <formula>E8</formula>
    </cfRule>
    <cfRule type="cellIs" priority="6" dxfId="2" operator="greaterThan" stopIfTrue="1">
      <formula>$D$2</formula>
    </cfRule>
  </conditionalFormatting>
  <conditionalFormatting sqref="N8:N25">
    <cfRule type="cellIs" priority="7" dxfId="2" operator="lessThan" stopIfTrue="1">
      <formula>E8</formula>
    </cfRule>
    <cfRule type="cellIs" priority="8" dxfId="2" operator="greaterThan" stopIfTrue="1">
      <formula>$D$2</formula>
    </cfRule>
  </conditionalFormatting>
  <conditionalFormatting sqref="L8:L25">
    <cfRule type="cellIs" priority="9" dxfId="0" operator="equal" stopIfTrue="1">
      <formula>"S"</formula>
    </cfRule>
    <cfRule type="cellIs" priority="10" dxfId="1" operator="equal" stopIfTrue="1">
      <formula>"O"</formula>
    </cfRule>
  </conditionalFormatting>
  <dataValidations count="2">
    <dataValidation type="list" allowBlank="1" showInputMessage="1" showErrorMessage="1" sqref="H8:H25">
      <formula1>tipopagamento</formula1>
    </dataValidation>
    <dataValidation allowBlank="1" showInputMessage="1" showErrorMessage="1" prompt="le righe si possono allargare" sqref="B8:B10"/>
  </dataValidations>
  <printOptions/>
  <pageMargins left="0.2" right="0.15748031496062992" top="0.3937007874015748" bottom="0.3937007874015748" header="0.31496062992125984" footer="0.3937007874015748"/>
  <pageSetup fitToHeight="100" fitToWidth="1" horizontalDpi="600" verticalDpi="600" orientation="landscape" paperSize="9" scale="99" r:id="rId1"/>
  <headerFooter alignWithMargins="0">
    <oddFooter>&amp;R&amp;"Verdana,Normale"&amp;8&amp;P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6">
    <tabColor indexed="50"/>
    <pageSetUpPr fitToPage="1"/>
  </sheetPr>
  <dimension ref="A1:AJ28"/>
  <sheetViews>
    <sheetView workbookViewId="0" topLeftCell="A1">
      <selection activeCell="B3" sqref="B3"/>
    </sheetView>
  </sheetViews>
  <sheetFormatPr defaultColWidth="9.140625" defaultRowHeight="12.75"/>
  <cols>
    <col min="1" max="1" width="2.7109375" style="23" bestFit="1" customWidth="1"/>
    <col min="2" max="2" width="16.140625" style="19" customWidth="1"/>
    <col min="3" max="3" width="12.421875" style="19" customWidth="1"/>
    <col min="4" max="4" width="6.00390625" style="23" customWidth="1"/>
    <col min="5" max="5" width="6.421875" style="27" customWidth="1"/>
    <col min="6" max="6" width="9.57421875" style="19" customWidth="1"/>
    <col min="7" max="7" width="4.421875" style="350" customWidth="1"/>
    <col min="8" max="8" width="8.8515625" style="140" customWidth="1"/>
    <col min="9" max="9" width="9.57421875" style="155" customWidth="1"/>
    <col min="10" max="10" width="7.421875" style="27" customWidth="1"/>
    <col min="11" max="11" width="9.57421875" style="57" customWidth="1"/>
    <col min="12" max="12" width="2.57421875" style="58" customWidth="1"/>
    <col min="13" max="14" width="6.421875" style="57" customWidth="1"/>
    <col min="15" max="15" width="4.28125" style="57" customWidth="1"/>
    <col min="16" max="16" width="2.28125" style="58" customWidth="1"/>
    <col min="17" max="17" width="10.8515625" style="19" customWidth="1"/>
    <col min="18" max="18" width="10.8515625" style="246" customWidth="1"/>
    <col min="19" max="19" width="10.8515625" style="19" customWidth="1"/>
    <col min="20" max="20" width="3.421875" style="409" hidden="1" customWidth="1"/>
    <col min="21" max="21" width="5.140625" style="270" hidden="1" customWidth="1"/>
    <col min="22" max="22" width="9.57421875" style="390" hidden="1" customWidth="1"/>
    <col min="23" max="23" width="2.00390625" style="474" hidden="1" customWidth="1"/>
    <col min="24" max="25" width="6.421875" style="390" hidden="1" customWidth="1"/>
    <col min="26" max="26" width="4.28125" style="390" hidden="1" customWidth="1"/>
    <col min="27" max="27" width="2.28125" style="391" hidden="1" customWidth="1"/>
    <col min="28" max="28" width="9.57421875" style="222" hidden="1" customWidth="1"/>
    <col min="29" max="29" width="9.28125" style="401" hidden="1" customWidth="1"/>
    <col min="30" max="30" width="9.140625" style="108" hidden="1" customWidth="1"/>
    <col min="31" max="31" width="3.57421875" style="262" hidden="1" customWidth="1"/>
    <col min="32" max="32" width="5.00390625" style="270" hidden="1" customWidth="1"/>
    <col min="33" max="34" width="11.140625" style="147" hidden="1" customWidth="1"/>
    <col min="35" max="35" width="10.57421875" style="147" hidden="1" customWidth="1"/>
    <col min="36" max="36" width="36.28125" style="180" hidden="1" customWidth="1"/>
    <col min="37" max="37" width="0" style="19" hidden="1" customWidth="1"/>
    <col min="38" max="16384" width="9.140625" style="19" customWidth="1"/>
  </cols>
  <sheetData>
    <row r="1" spans="1:36" ht="17.25" customHeight="1">
      <c r="A1" s="19"/>
      <c r="B1" s="72" t="s">
        <v>32</v>
      </c>
      <c r="C1" s="72"/>
      <c r="D1" s="165">
        <f>datainizioprogetto</f>
        <v>0</v>
      </c>
      <c r="F1" s="48"/>
      <c r="G1" s="349"/>
      <c r="H1" s="141"/>
      <c r="R1" s="242"/>
      <c r="S1" s="49" t="s">
        <v>11</v>
      </c>
      <c r="T1" s="403" t="s">
        <v>124</v>
      </c>
      <c r="U1" s="271"/>
      <c r="AB1" s="264"/>
      <c r="AC1" s="392"/>
      <c r="AD1" s="222"/>
      <c r="AE1" s="261"/>
      <c r="AF1" s="271"/>
      <c r="AG1" s="145"/>
      <c r="AI1" s="145"/>
      <c r="AJ1" s="404" t="s">
        <v>11</v>
      </c>
    </row>
    <row r="2" spans="1:36" ht="17.25" customHeight="1" thickBot="1">
      <c r="A2" s="19"/>
      <c r="B2" s="48"/>
      <c r="C2" s="48"/>
      <c r="D2" s="165">
        <f>datafineprogetto</f>
        <v>0</v>
      </c>
      <c r="F2" s="48"/>
      <c r="G2" s="349"/>
      <c r="H2" s="141"/>
      <c r="R2" s="97"/>
      <c r="S2" s="50" t="s">
        <v>148</v>
      </c>
      <c r="T2" s="407"/>
      <c r="U2" s="271"/>
      <c r="AB2" s="264"/>
      <c r="AC2" s="393"/>
      <c r="AD2" s="222"/>
      <c r="AE2" s="261"/>
      <c r="AF2" s="271"/>
      <c r="AG2" s="145"/>
      <c r="AH2" s="145"/>
      <c r="AI2" s="145"/>
      <c r="AJ2" s="50" t="str">
        <f>"rendicontazione "&amp;IF(riepilogo!scelta="R","Ricerca",IF(riepilogo!scelta="I","Innovazione processi",""))&amp;" - elenco f)"</f>
        <v>rendicontazione  - elenco f)</v>
      </c>
    </row>
    <row r="3" spans="2:36" ht="24.75" customHeight="1" thickBot="1" thickTop="1">
      <c r="B3" s="36" t="s">
        <v>9</v>
      </c>
      <c r="C3" s="36"/>
      <c r="E3" s="59"/>
      <c r="H3" s="19"/>
      <c r="J3" s="23"/>
      <c r="K3" s="37"/>
      <c r="L3" s="473"/>
      <c r="M3" s="37"/>
      <c r="N3" s="37"/>
      <c r="P3" s="60"/>
      <c r="R3" s="359"/>
      <c r="S3" s="362"/>
      <c r="T3" s="408"/>
      <c r="U3" s="338"/>
      <c r="V3" s="338"/>
      <c r="W3" s="475"/>
      <c r="X3" s="338"/>
      <c r="Y3" s="338"/>
      <c r="Z3" s="338"/>
      <c r="AA3" s="338"/>
      <c r="AB3" s="338"/>
      <c r="AC3" s="340" t="s">
        <v>87</v>
      </c>
      <c r="AD3" s="338"/>
      <c r="AE3" s="338"/>
      <c r="AF3" s="338"/>
      <c r="AG3" s="340"/>
      <c r="AH3" s="340"/>
      <c r="AI3" s="340"/>
      <c r="AJ3" s="339"/>
    </row>
    <row r="4" spans="2:36" ht="11.25" customHeight="1" thickTop="1">
      <c r="B4" s="148"/>
      <c r="C4" s="148"/>
      <c r="E4" s="59"/>
      <c r="F4" s="39"/>
      <c r="H4" s="19"/>
      <c r="K4" s="39"/>
      <c r="L4" s="24"/>
      <c r="M4" s="39"/>
      <c r="N4" s="39"/>
      <c r="P4" s="60"/>
      <c r="R4" s="359"/>
      <c r="S4" s="362"/>
      <c r="V4" s="402"/>
      <c r="W4" s="402"/>
      <c r="X4" s="402"/>
      <c r="Y4" s="402"/>
      <c r="AA4" s="394"/>
      <c r="AC4" s="402"/>
      <c r="AG4" s="163"/>
      <c r="AH4" s="163"/>
      <c r="AI4" s="163"/>
      <c r="AJ4" s="190"/>
    </row>
    <row r="5" spans="2:36" ht="6.75" customHeight="1">
      <c r="B5" s="48"/>
      <c r="C5" s="48"/>
      <c r="E5" s="59"/>
      <c r="F5" s="39"/>
      <c r="H5" s="19"/>
      <c r="K5" s="39"/>
      <c r="L5" s="24"/>
      <c r="M5" s="39"/>
      <c r="N5" s="39"/>
      <c r="O5" s="39"/>
      <c r="P5" s="60"/>
      <c r="Q5" s="154"/>
      <c r="R5" s="244"/>
      <c r="S5" s="154"/>
      <c r="V5" s="402"/>
      <c r="W5" s="402"/>
      <c r="X5" s="402"/>
      <c r="Y5" s="402"/>
      <c r="Z5" s="402"/>
      <c r="AA5" s="394"/>
      <c r="AB5" s="395"/>
      <c r="AC5" s="396"/>
      <c r="AG5" s="104"/>
      <c r="AH5" s="104"/>
      <c r="AI5" s="104"/>
      <c r="AJ5" s="186"/>
    </row>
    <row r="6" spans="1:36" s="52" customFormat="1" ht="9.75" customHeight="1">
      <c r="A6" s="51"/>
      <c r="B6" s="670" t="s">
        <v>109</v>
      </c>
      <c r="C6" s="670" t="s">
        <v>56</v>
      </c>
      <c r="D6" s="667" t="s">
        <v>54</v>
      </c>
      <c r="E6" s="668"/>
      <c r="F6" s="669"/>
      <c r="G6" s="673" t="s">
        <v>133</v>
      </c>
      <c r="H6" s="674"/>
      <c r="I6" s="674"/>
      <c r="J6" s="675"/>
      <c r="K6" s="667" t="s">
        <v>136</v>
      </c>
      <c r="L6" s="668"/>
      <c r="M6" s="668"/>
      <c r="N6" s="668"/>
      <c r="O6" s="668"/>
      <c r="P6" s="668"/>
      <c r="Q6" s="668"/>
      <c r="R6" s="668"/>
      <c r="S6" s="669"/>
      <c r="T6" s="660" t="s">
        <v>99</v>
      </c>
      <c r="U6" s="666" t="s">
        <v>174</v>
      </c>
      <c r="V6" s="617" t="s">
        <v>101</v>
      </c>
      <c r="W6" s="618"/>
      <c r="X6" s="618"/>
      <c r="Y6" s="618"/>
      <c r="Z6" s="618"/>
      <c r="AA6" s="618"/>
      <c r="AB6" s="618"/>
      <c r="AC6" s="618"/>
      <c r="AD6" s="642"/>
      <c r="AE6" s="664" t="s">
        <v>100</v>
      </c>
      <c r="AF6" s="666" t="s">
        <v>174</v>
      </c>
      <c r="AG6" s="617" t="s">
        <v>125</v>
      </c>
      <c r="AH6" s="618"/>
      <c r="AI6" s="642"/>
      <c r="AJ6" s="676" t="s">
        <v>59</v>
      </c>
    </row>
    <row r="7" spans="1:36" ht="40.5" customHeight="1">
      <c r="A7" s="29"/>
      <c r="B7" s="671"/>
      <c r="C7" s="671"/>
      <c r="D7" s="43" t="s">
        <v>55</v>
      </c>
      <c r="E7" s="31" t="s">
        <v>57</v>
      </c>
      <c r="F7" s="43" t="s">
        <v>111</v>
      </c>
      <c r="G7" s="351" t="s">
        <v>55</v>
      </c>
      <c r="H7" s="138" t="s">
        <v>134</v>
      </c>
      <c r="I7" s="138" t="s">
        <v>62</v>
      </c>
      <c r="J7" s="138" t="s">
        <v>135</v>
      </c>
      <c r="K7" s="43" t="s">
        <v>113</v>
      </c>
      <c r="L7" s="44" t="str">
        <f>IF(riepilogo!scelta="I"," P / O"," R / S")</f>
        <v> R / S</v>
      </c>
      <c r="M7" s="43" t="s">
        <v>137</v>
      </c>
      <c r="N7" s="43" t="s">
        <v>138</v>
      </c>
      <c r="O7" s="43" t="s">
        <v>61</v>
      </c>
      <c r="P7" s="357" t="s">
        <v>139</v>
      </c>
      <c r="Q7" s="43" t="s">
        <v>83</v>
      </c>
      <c r="R7" s="43" t="s">
        <v>82</v>
      </c>
      <c r="S7" s="388" t="s">
        <v>84</v>
      </c>
      <c r="T7" s="661"/>
      <c r="U7" s="666"/>
      <c r="V7" s="389" t="s">
        <v>113</v>
      </c>
      <c r="W7" s="471" t="str">
        <f>L7</f>
        <v> R / S</v>
      </c>
      <c r="X7" s="389" t="s">
        <v>126</v>
      </c>
      <c r="Y7" s="389" t="s">
        <v>127</v>
      </c>
      <c r="Z7" s="389" t="s">
        <v>61</v>
      </c>
      <c r="AA7" s="389" t="s">
        <v>20</v>
      </c>
      <c r="AB7" s="259" t="s">
        <v>123</v>
      </c>
      <c r="AC7" s="259" t="s">
        <v>82</v>
      </c>
      <c r="AD7" s="259" t="s">
        <v>84</v>
      </c>
      <c r="AE7" s="665"/>
      <c r="AF7" s="666"/>
      <c r="AG7" s="259" t="s">
        <v>123</v>
      </c>
      <c r="AH7" s="259" t="s">
        <v>82</v>
      </c>
      <c r="AI7" s="259" t="s">
        <v>84</v>
      </c>
      <c r="AJ7" s="677"/>
    </row>
    <row r="8" spans="1:36" ht="18.75" customHeight="1">
      <c r="A8" s="29">
        <v>1</v>
      </c>
      <c r="B8" s="15"/>
      <c r="C8" s="15"/>
      <c r="D8" s="18"/>
      <c r="E8" s="17"/>
      <c r="F8" s="417"/>
      <c r="G8" s="348">
        <f aca="true" t="shared" si="0" ref="G8:G24">IF(H8&lt;&gt;"",A8&amp;"f","")</f>
      </c>
      <c r="H8" s="142"/>
      <c r="I8" s="417">
        <f>IF(F8=0,0,F8)</f>
        <v>0</v>
      </c>
      <c r="J8" s="17"/>
      <c r="K8" s="417"/>
      <c r="L8" s="64"/>
      <c r="M8" s="17"/>
      <c r="N8" s="17"/>
      <c r="O8" s="149">
        <f>IF(AND(K8&gt;0,M8&lt;&gt;"",N8&lt;&gt;""),N8-M8+1,"")</f>
      </c>
      <c r="P8" s="255"/>
      <c r="Q8" s="61">
        <f>IF(OR(O8&lt;&gt;"",P8&lt;&gt;""),IF(P8="L",K8,IF(ROUND(K8*O8/(DATE(YEAR(M8)+3,MONTH(M8),DAY(M8))-M8),2)&gt;K8,K8,ROUND(K8*O8/(DATE(YEAR(M8)+3,MONTH(M8),DAY(M8))-M8),2))),0)</f>
        <v>0</v>
      </c>
      <c r="R8" s="160"/>
      <c r="S8" s="405">
        <f>Q8-R8</f>
        <v>0</v>
      </c>
      <c r="T8" s="411"/>
      <c r="U8" s="272"/>
      <c r="V8" s="416">
        <f>K8</f>
        <v>0</v>
      </c>
      <c r="W8" s="413">
        <f>IF(L8="","",L8)</f>
      </c>
      <c r="X8" s="412">
        <f>IF(M8&lt;&gt;"",M8,"")</f>
      </c>
      <c r="Y8" s="412">
        <f>IF(N8&lt;&gt;"",N8,"")</f>
      </c>
      <c r="Z8" s="385">
        <f>IF(AND(V8&gt;0,X8&lt;&gt;"",Y8&lt;&gt;""),Y8-X8+1,"")</f>
      </c>
      <c r="AA8" s="413">
        <f>IF(P8="","",P8)</f>
      </c>
      <c r="AB8" s="173">
        <f>IF(OR(Z8&lt;&gt;"",AA8&lt;&gt;""),IF(AA8="L",V8,IF(ROUND(V8*Z8/(DATE(YEAR(X8)+3,MONTH(X8),DAY(X8))-X8),2)&gt;V8,V8,ROUND(V8*Z8/(DATE(YEAR(X8)+3,MONTH(X8),DAY(X8))-X8),2))),0)</f>
        <v>0</v>
      </c>
      <c r="AC8" s="414">
        <f>R8</f>
        <v>0</v>
      </c>
      <c r="AD8" s="146">
        <f>AB8-AC8</f>
        <v>0</v>
      </c>
      <c r="AE8" s="415"/>
      <c r="AF8" s="272"/>
      <c r="AG8" s="146">
        <f>AB8</f>
        <v>0</v>
      </c>
      <c r="AH8" s="146">
        <f>AC8</f>
        <v>0</v>
      </c>
      <c r="AI8" s="146">
        <f>AG8-AH8</f>
        <v>0</v>
      </c>
      <c r="AJ8" s="445"/>
    </row>
    <row r="9" spans="1:36" ht="18.75" customHeight="1">
      <c r="A9" s="29">
        <v>2</v>
      </c>
      <c r="B9" s="15"/>
      <c r="C9" s="15"/>
      <c r="D9" s="18"/>
      <c r="E9" s="17"/>
      <c r="F9" s="417"/>
      <c r="G9" s="348">
        <f t="shared" si="0"/>
      </c>
      <c r="H9" s="142"/>
      <c r="I9" s="417">
        <f aca="true" t="shared" si="1" ref="I9:I24">IF(F9=0,0,F9)</f>
        <v>0</v>
      </c>
      <c r="J9" s="17"/>
      <c r="K9" s="417"/>
      <c r="L9" s="64"/>
      <c r="M9" s="17"/>
      <c r="N9" s="17"/>
      <c r="O9" s="149">
        <f aca="true" t="shared" si="2" ref="O9:O24">IF(AND(K9&gt;0,M9&lt;&gt;"",N9&lt;&gt;""),N9-M9+1,"")</f>
      </c>
      <c r="P9" s="255"/>
      <c r="Q9" s="61">
        <f aca="true" t="shared" si="3" ref="Q9:Q24">IF(OR(O9&lt;&gt;"",P9&lt;&gt;""),IF(P9="L",K9,IF(ROUND(K9*O9/(DATE(YEAR(M9)+3,MONTH(M9),DAY(M9))-M9),2)&gt;K9,K9,ROUND(K9*O9/(DATE(YEAR(M9)+3,MONTH(M9),DAY(M9))-M9),2))),0)</f>
        <v>0</v>
      </c>
      <c r="R9" s="160"/>
      <c r="S9" s="405">
        <f>Q9-R9</f>
        <v>0</v>
      </c>
      <c r="T9" s="411"/>
      <c r="U9" s="272"/>
      <c r="V9" s="416">
        <f aca="true" t="shared" si="4" ref="V9:V24">K9</f>
        <v>0</v>
      </c>
      <c r="W9" s="413">
        <f aca="true" t="shared" si="5" ref="W9:W24">IF(L9="","",L9)</f>
      </c>
      <c r="X9" s="412">
        <f aca="true" t="shared" si="6" ref="X9:Y24">IF(M9&lt;&gt;"",M9,"")</f>
      </c>
      <c r="Y9" s="412">
        <f t="shared" si="6"/>
      </c>
      <c r="Z9" s="385">
        <f aca="true" t="shared" si="7" ref="Z9:Z24">IF(AND(V9&gt;0,X9&lt;&gt;"",Y9&lt;&gt;""),Y9-X9+1,"")</f>
      </c>
      <c r="AA9" s="413">
        <f aca="true" t="shared" si="8" ref="AA9:AA24">IF(P9="","",P9)</f>
      </c>
      <c r="AB9" s="173">
        <f aca="true" t="shared" si="9" ref="AB9:AB24">IF(OR(Z9&lt;&gt;"",AA9&lt;&gt;""),IF(AA9="L",V9,IF(ROUND(V9*Z9/(DATE(YEAR(X9)+3,MONTH(X9),DAY(X9))-X9),2)&gt;V9,V9,ROUND(V9*Z9/(DATE(YEAR(X9)+3,MONTH(X9),DAY(X9))-X9),2))),0)</f>
        <v>0</v>
      </c>
      <c r="AC9" s="414">
        <f aca="true" t="shared" si="10" ref="AC9:AC24">R9</f>
        <v>0</v>
      </c>
      <c r="AD9" s="146">
        <f aca="true" t="shared" si="11" ref="AD9:AD24">AB9-AC9</f>
        <v>0</v>
      </c>
      <c r="AE9" s="415"/>
      <c r="AF9" s="272"/>
      <c r="AG9" s="146">
        <f aca="true" t="shared" si="12" ref="AG9:AG24">AB9</f>
        <v>0</v>
      </c>
      <c r="AH9" s="146">
        <f aca="true" t="shared" si="13" ref="AH9:AH24">AC9</f>
        <v>0</v>
      </c>
      <c r="AI9" s="146">
        <f aca="true" t="shared" si="14" ref="AI9:AI24">AG9-AH9</f>
        <v>0</v>
      </c>
      <c r="AJ9" s="445"/>
    </row>
    <row r="10" spans="1:36" ht="18.75" customHeight="1">
      <c r="A10" s="29">
        <v>3</v>
      </c>
      <c r="B10" s="15"/>
      <c r="C10" s="15"/>
      <c r="D10" s="18"/>
      <c r="E10" s="17"/>
      <c r="F10" s="417"/>
      <c r="G10" s="348">
        <f t="shared" si="0"/>
      </c>
      <c r="H10" s="142"/>
      <c r="I10" s="417">
        <f t="shared" si="1"/>
        <v>0</v>
      </c>
      <c r="J10" s="17"/>
      <c r="K10" s="417"/>
      <c r="L10" s="64"/>
      <c r="M10" s="17"/>
      <c r="N10" s="17"/>
      <c r="O10" s="149">
        <f t="shared" si="2"/>
      </c>
      <c r="P10" s="255"/>
      <c r="Q10" s="61">
        <f t="shared" si="3"/>
        <v>0</v>
      </c>
      <c r="R10" s="160"/>
      <c r="S10" s="405">
        <f aca="true" t="shared" si="15" ref="S10:S24">Q10-R10</f>
        <v>0</v>
      </c>
      <c r="T10" s="411"/>
      <c r="U10" s="272"/>
      <c r="V10" s="416">
        <f t="shared" si="4"/>
        <v>0</v>
      </c>
      <c r="W10" s="413">
        <f t="shared" si="5"/>
      </c>
      <c r="X10" s="412">
        <f t="shared" si="6"/>
      </c>
      <c r="Y10" s="412">
        <f t="shared" si="6"/>
      </c>
      <c r="Z10" s="385">
        <f t="shared" si="7"/>
      </c>
      <c r="AA10" s="413">
        <f t="shared" si="8"/>
      </c>
      <c r="AB10" s="173">
        <f t="shared" si="9"/>
        <v>0</v>
      </c>
      <c r="AC10" s="414">
        <f t="shared" si="10"/>
        <v>0</v>
      </c>
      <c r="AD10" s="146">
        <f t="shared" si="11"/>
        <v>0</v>
      </c>
      <c r="AE10" s="415"/>
      <c r="AF10" s="272"/>
      <c r="AG10" s="146">
        <f t="shared" si="12"/>
        <v>0</v>
      </c>
      <c r="AH10" s="146">
        <f t="shared" si="13"/>
        <v>0</v>
      </c>
      <c r="AI10" s="146">
        <f t="shared" si="14"/>
        <v>0</v>
      </c>
      <c r="AJ10" s="445"/>
    </row>
    <row r="11" spans="1:36" ht="18.75" customHeight="1">
      <c r="A11" s="29">
        <v>4</v>
      </c>
      <c r="B11" s="15"/>
      <c r="C11" s="15"/>
      <c r="D11" s="18"/>
      <c r="E11" s="17"/>
      <c r="F11" s="417"/>
      <c r="G11" s="348">
        <f t="shared" si="0"/>
      </c>
      <c r="H11" s="142"/>
      <c r="I11" s="417">
        <f t="shared" si="1"/>
        <v>0</v>
      </c>
      <c r="J11" s="17"/>
      <c r="K11" s="417"/>
      <c r="L11" s="64"/>
      <c r="M11" s="17"/>
      <c r="N11" s="17"/>
      <c r="O11" s="149">
        <f t="shared" si="2"/>
      </c>
      <c r="P11" s="255"/>
      <c r="Q11" s="61">
        <f t="shared" si="3"/>
        <v>0</v>
      </c>
      <c r="R11" s="160"/>
      <c r="S11" s="405">
        <f t="shared" si="15"/>
        <v>0</v>
      </c>
      <c r="T11" s="411"/>
      <c r="U11" s="272"/>
      <c r="V11" s="416">
        <f t="shared" si="4"/>
        <v>0</v>
      </c>
      <c r="W11" s="413">
        <f t="shared" si="5"/>
      </c>
      <c r="X11" s="412">
        <f t="shared" si="6"/>
      </c>
      <c r="Y11" s="412">
        <f t="shared" si="6"/>
      </c>
      <c r="Z11" s="385">
        <f t="shared" si="7"/>
      </c>
      <c r="AA11" s="413">
        <f t="shared" si="8"/>
      </c>
      <c r="AB11" s="173">
        <f t="shared" si="9"/>
        <v>0</v>
      </c>
      <c r="AC11" s="414">
        <f t="shared" si="10"/>
        <v>0</v>
      </c>
      <c r="AD11" s="146">
        <f t="shared" si="11"/>
        <v>0</v>
      </c>
      <c r="AE11" s="415"/>
      <c r="AF11" s="272"/>
      <c r="AG11" s="146">
        <f t="shared" si="12"/>
        <v>0</v>
      </c>
      <c r="AH11" s="146">
        <f t="shared" si="13"/>
        <v>0</v>
      </c>
      <c r="AI11" s="146">
        <f t="shared" si="14"/>
        <v>0</v>
      </c>
      <c r="AJ11" s="445"/>
    </row>
    <row r="12" spans="1:36" ht="18.75" customHeight="1">
      <c r="A12" s="29">
        <v>5</v>
      </c>
      <c r="B12" s="15"/>
      <c r="C12" s="15"/>
      <c r="D12" s="18"/>
      <c r="E12" s="17"/>
      <c r="F12" s="417"/>
      <c r="G12" s="348">
        <f t="shared" si="0"/>
      </c>
      <c r="H12" s="142"/>
      <c r="I12" s="417">
        <f t="shared" si="1"/>
        <v>0</v>
      </c>
      <c r="J12" s="17"/>
      <c r="K12" s="417"/>
      <c r="L12" s="64"/>
      <c r="M12" s="17"/>
      <c r="N12" s="17"/>
      <c r="O12" s="149">
        <f t="shared" si="2"/>
      </c>
      <c r="P12" s="255"/>
      <c r="Q12" s="61">
        <f t="shared" si="3"/>
        <v>0</v>
      </c>
      <c r="R12" s="160"/>
      <c r="S12" s="405">
        <f t="shared" si="15"/>
        <v>0</v>
      </c>
      <c r="T12" s="411"/>
      <c r="U12" s="272"/>
      <c r="V12" s="416">
        <f t="shared" si="4"/>
        <v>0</v>
      </c>
      <c r="W12" s="413">
        <f t="shared" si="5"/>
      </c>
      <c r="X12" s="412">
        <f t="shared" si="6"/>
      </c>
      <c r="Y12" s="412">
        <f t="shared" si="6"/>
      </c>
      <c r="Z12" s="385">
        <f t="shared" si="7"/>
      </c>
      <c r="AA12" s="413">
        <f t="shared" si="8"/>
      </c>
      <c r="AB12" s="173">
        <f t="shared" si="9"/>
        <v>0</v>
      </c>
      <c r="AC12" s="414">
        <f t="shared" si="10"/>
        <v>0</v>
      </c>
      <c r="AD12" s="146">
        <f t="shared" si="11"/>
        <v>0</v>
      </c>
      <c r="AE12" s="415"/>
      <c r="AF12" s="272"/>
      <c r="AG12" s="146">
        <f t="shared" si="12"/>
        <v>0</v>
      </c>
      <c r="AH12" s="146">
        <f t="shared" si="13"/>
        <v>0</v>
      </c>
      <c r="AI12" s="146">
        <f t="shared" si="14"/>
        <v>0</v>
      </c>
      <c r="AJ12" s="445"/>
    </row>
    <row r="13" spans="1:36" ht="18.75" customHeight="1">
      <c r="A13" s="29">
        <v>6</v>
      </c>
      <c r="B13" s="15"/>
      <c r="C13" s="15"/>
      <c r="D13" s="18"/>
      <c r="E13" s="17"/>
      <c r="F13" s="417"/>
      <c r="G13" s="348">
        <f t="shared" si="0"/>
      </c>
      <c r="H13" s="142"/>
      <c r="I13" s="417">
        <f t="shared" si="1"/>
        <v>0</v>
      </c>
      <c r="J13" s="17"/>
      <c r="K13" s="417"/>
      <c r="L13" s="64"/>
      <c r="M13" s="17"/>
      <c r="N13" s="17"/>
      <c r="O13" s="149">
        <f t="shared" si="2"/>
      </c>
      <c r="P13" s="255"/>
      <c r="Q13" s="61">
        <f t="shared" si="3"/>
        <v>0</v>
      </c>
      <c r="R13" s="160"/>
      <c r="S13" s="405">
        <f t="shared" si="15"/>
        <v>0</v>
      </c>
      <c r="T13" s="411"/>
      <c r="U13" s="272"/>
      <c r="V13" s="416">
        <f t="shared" si="4"/>
        <v>0</v>
      </c>
      <c r="W13" s="413">
        <f t="shared" si="5"/>
      </c>
      <c r="X13" s="412">
        <f t="shared" si="6"/>
      </c>
      <c r="Y13" s="412">
        <f t="shared" si="6"/>
      </c>
      <c r="Z13" s="385">
        <f t="shared" si="7"/>
      </c>
      <c r="AA13" s="413">
        <f t="shared" si="8"/>
      </c>
      <c r="AB13" s="173">
        <f t="shared" si="9"/>
        <v>0</v>
      </c>
      <c r="AC13" s="414">
        <f t="shared" si="10"/>
        <v>0</v>
      </c>
      <c r="AD13" s="146">
        <f t="shared" si="11"/>
        <v>0</v>
      </c>
      <c r="AE13" s="415"/>
      <c r="AF13" s="272"/>
      <c r="AG13" s="146">
        <f t="shared" si="12"/>
        <v>0</v>
      </c>
      <c r="AH13" s="146">
        <f t="shared" si="13"/>
        <v>0</v>
      </c>
      <c r="AI13" s="146">
        <f t="shared" si="14"/>
        <v>0</v>
      </c>
      <c r="AJ13" s="445"/>
    </row>
    <row r="14" spans="1:36" ht="18.75" customHeight="1">
      <c r="A14" s="29">
        <v>7</v>
      </c>
      <c r="B14" s="15"/>
      <c r="C14" s="15"/>
      <c r="D14" s="18"/>
      <c r="E14" s="17"/>
      <c r="F14" s="417"/>
      <c r="G14" s="348">
        <f t="shared" si="0"/>
      </c>
      <c r="H14" s="142"/>
      <c r="I14" s="417">
        <f t="shared" si="1"/>
        <v>0</v>
      </c>
      <c r="J14" s="17"/>
      <c r="K14" s="417"/>
      <c r="L14" s="64"/>
      <c r="M14" s="17"/>
      <c r="N14" s="17"/>
      <c r="O14" s="149">
        <f t="shared" si="2"/>
      </c>
      <c r="P14" s="255"/>
      <c r="Q14" s="61">
        <f t="shared" si="3"/>
        <v>0</v>
      </c>
      <c r="R14" s="160"/>
      <c r="S14" s="405">
        <f t="shared" si="15"/>
        <v>0</v>
      </c>
      <c r="T14" s="411"/>
      <c r="U14" s="272"/>
      <c r="V14" s="416">
        <f t="shared" si="4"/>
        <v>0</v>
      </c>
      <c r="W14" s="413">
        <f t="shared" si="5"/>
      </c>
      <c r="X14" s="412">
        <f t="shared" si="6"/>
      </c>
      <c r="Y14" s="412">
        <f t="shared" si="6"/>
      </c>
      <c r="Z14" s="385">
        <f t="shared" si="7"/>
      </c>
      <c r="AA14" s="413">
        <f t="shared" si="8"/>
      </c>
      <c r="AB14" s="173">
        <f t="shared" si="9"/>
        <v>0</v>
      </c>
      <c r="AC14" s="414">
        <f t="shared" si="10"/>
        <v>0</v>
      </c>
      <c r="AD14" s="146">
        <f t="shared" si="11"/>
        <v>0</v>
      </c>
      <c r="AE14" s="415"/>
      <c r="AF14" s="272"/>
      <c r="AG14" s="146">
        <f t="shared" si="12"/>
        <v>0</v>
      </c>
      <c r="AH14" s="146">
        <f t="shared" si="13"/>
        <v>0</v>
      </c>
      <c r="AI14" s="146">
        <f t="shared" si="14"/>
        <v>0</v>
      </c>
      <c r="AJ14" s="445"/>
    </row>
    <row r="15" spans="1:36" ht="18.75" customHeight="1">
      <c r="A15" s="29">
        <v>8</v>
      </c>
      <c r="B15" s="15"/>
      <c r="C15" s="15"/>
      <c r="D15" s="18"/>
      <c r="E15" s="17"/>
      <c r="F15" s="417"/>
      <c r="G15" s="348">
        <f t="shared" si="0"/>
      </c>
      <c r="H15" s="142"/>
      <c r="I15" s="417">
        <f t="shared" si="1"/>
        <v>0</v>
      </c>
      <c r="J15" s="17"/>
      <c r="K15" s="417"/>
      <c r="L15" s="64"/>
      <c r="M15" s="17"/>
      <c r="N15" s="17"/>
      <c r="O15" s="149">
        <f t="shared" si="2"/>
      </c>
      <c r="P15" s="255"/>
      <c r="Q15" s="61">
        <f t="shared" si="3"/>
        <v>0</v>
      </c>
      <c r="R15" s="160"/>
      <c r="S15" s="405">
        <f t="shared" si="15"/>
        <v>0</v>
      </c>
      <c r="T15" s="411"/>
      <c r="U15" s="272"/>
      <c r="V15" s="416">
        <f t="shared" si="4"/>
        <v>0</v>
      </c>
      <c r="W15" s="413">
        <f t="shared" si="5"/>
      </c>
      <c r="X15" s="412">
        <f t="shared" si="6"/>
      </c>
      <c r="Y15" s="412">
        <f t="shared" si="6"/>
      </c>
      <c r="Z15" s="385">
        <f t="shared" si="7"/>
      </c>
      <c r="AA15" s="413">
        <f t="shared" si="8"/>
      </c>
      <c r="AB15" s="173">
        <f t="shared" si="9"/>
        <v>0</v>
      </c>
      <c r="AC15" s="414">
        <f t="shared" si="10"/>
        <v>0</v>
      </c>
      <c r="AD15" s="146">
        <f t="shared" si="11"/>
        <v>0</v>
      </c>
      <c r="AE15" s="415"/>
      <c r="AF15" s="272"/>
      <c r="AG15" s="146">
        <f t="shared" si="12"/>
        <v>0</v>
      </c>
      <c r="AH15" s="146">
        <f t="shared" si="13"/>
        <v>0</v>
      </c>
      <c r="AI15" s="146">
        <f t="shared" si="14"/>
        <v>0</v>
      </c>
      <c r="AJ15" s="445"/>
    </row>
    <row r="16" spans="1:36" ht="18.75" customHeight="1">
      <c r="A16" s="29">
        <v>9</v>
      </c>
      <c r="B16" s="15"/>
      <c r="C16" s="15"/>
      <c r="D16" s="18"/>
      <c r="E16" s="17"/>
      <c r="F16" s="417"/>
      <c r="G16" s="348">
        <f t="shared" si="0"/>
      </c>
      <c r="H16" s="142"/>
      <c r="I16" s="417">
        <f t="shared" si="1"/>
        <v>0</v>
      </c>
      <c r="J16" s="17"/>
      <c r="K16" s="417"/>
      <c r="L16" s="64"/>
      <c r="M16" s="17"/>
      <c r="N16" s="17"/>
      <c r="O16" s="149">
        <f t="shared" si="2"/>
      </c>
      <c r="P16" s="255"/>
      <c r="Q16" s="61">
        <f t="shared" si="3"/>
        <v>0</v>
      </c>
      <c r="R16" s="160"/>
      <c r="S16" s="405">
        <f t="shared" si="15"/>
        <v>0</v>
      </c>
      <c r="T16" s="411"/>
      <c r="U16" s="272"/>
      <c r="V16" s="416">
        <f t="shared" si="4"/>
        <v>0</v>
      </c>
      <c r="W16" s="413">
        <f t="shared" si="5"/>
      </c>
      <c r="X16" s="412">
        <f t="shared" si="6"/>
      </c>
      <c r="Y16" s="412">
        <f t="shared" si="6"/>
      </c>
      <c r="Z16" s="385">
        <f t="shared" si="7"/>
      </c>
      <c r="AA16" s="413">
        <f t="shared" si="8"/>
      </c>
      <c r="AB16" s="173">
        <f t="shared" si="9"/>
        <v>0</v>
      </c>
      <c r="AC16" s="414">
        <f t="shared" si="10"/>
        <v>0</v>
      </c>
      <c r="AD16" s="146">
        <f t="shared" si="11"/>
        <v>0</v>
      </c>
      <c r="AE16" s="415"/>
      <c r="AF16" s="272"/>
      <c r="AG16" s="146">
        <f t="shared" si="12"/>
        <v>0</v>
      </c>
      <c r="AH16" s="146">
        <f t="shared" si="13"/>
        <v>0</v>
      </c>
      <c r="AI16" s="146">
        <f t="shared" si="14"/>
        <v>0</v>
      </c>
      <c r="AJ16" s="445"/>
    </row>
    <row r="17" spans="1:36" ht="18.75" customHeight="1">
      <c r="A17" s="29">
        <v>10</v>
      </c>
      <c r="B17" s="15"/>
      <c r="C17" s="15"/>
      <c r="D17" s="18"/>
      <c r="E17" s="17"/>
      <c r="F17" s="417"/>
      <c r="G17" s="348">
        <f t="shared" si="0"/>
      </c>
      <c r="H17" s="142"/>
      <c r="I17" s="417">
        <f t="shared" si="1"/>
        <v>0</v>
      </c>
      <c r="J17" s="17"/>
      <c r="K17" s="417"/>
      <c r="L17" s="64"/>
      <c r="M17" s="17"/>
      <c r="N17" s="17"/>
      <c r="O17" s="149">
        <f t="shared" si="2"/>
      </c>
      <c r="P17" s="255"/>
      <c r="Q17" s="61">
        <f t="shared" si="3"/>
        <v>0</v>
      </c>
      <c r="R17" s="160"/>
      <c r="S17" s="405">
        <f t="shared" si="15"/>
        <v>0</v>
      </c>
      <c r="T17" s="411"/>
      <c r="U17" s="272"/>
      <c r="V17" s="416">
        <f t="shared" si="4"/>
        <v>0</v>
      </c>
      <c r="W17" s="413">
        <f t="shared" si="5"/>
      </c>
      <c r="X17" s="412">
        <f t="shared" si="6"/>
      </c>
      <c r="Y17" s="412">
        <f t="shared" si="6"/>
      </c>
      <c r="Z17" s="385">
        <f t="shared" si="7"/>
      </c>
      <c r="AA17" s="413">
        <f t="shared" si="8"/>
      </c>
      <c r="AB17" s="173">
        <f t="shared" si="9"/>
        <v>0</v>
      </c>
      <c r="AC17" s="414">
        <f t="shared" si="10"/>
        <v>0</v>
      </c>
      <c r="AD17" s="146">
        <f t="shared" si="11"/>
        <v>0</v>
      </c>
      <c r="AE17" s="415"/>
      <c r="AF17" s="272"/>
      <c r="AG17" s="146">
        <f t="shared" si="12"/>
        <v>0</v>
      </c>
      <c r="AH17" s="146">
        <f t="shared" si="13"/>
        <v>0</v>
      </c>
      <c r="AI17" s="146">
        <f t="shared" si="14"/>
        <v>0</v>
      </c>
      <c r="AJ17" s="445"/>
    </row>
    <row r="18" spans="1:36" ht="18.75" customHeight="1">
      <c r="A18" s="29">
        <v>11</v>
      </c>
      <c r="B18" s="15"/>
      <c r="C18" s="15"/>
      <c r="D18" s="18"/>
      <c r="E18" s="17"/>
      <c r="F18" s="417"/>
      <c r="G18" s="348">
        <f t="shared" si="0"/>
      </c>
      <c r="H18" s="142"/>
      <c r="I18" s="417">
        <f t="shared" si="1"/>
        <v>0</v>
      </c>
      <c r="J18" s="17"/>
      <c r="K18" s="417"/>
      <c r="L18" s="64"/>
      <c r="M18" s="17"/>
      <c r="N18" s="17"/>
      <c r="O18" s="149">
        <f t="shared" si="2"/>
      </c>
      <c r="P18" s="255"/>
      <c r="Q18" s="61">
        <f t="shared" si="3"/>
        <v>0</v>
      </c>
      <c r="R18" s="160"/>
      <c r="S18" s="405">
        <f t="shared" si="15"/>
        <v>0</v>
      </c>
      <c r="T18" s="411"/>
      <c r="U18" s="272"/>
      <c r="V18" s="416">
        <f t="shared" si="4"/>
        <v>0</v>
      </c>
      <c r="W18" s="413">
        <f t="shared" si="5"/>
      </c>
      <c r="X18" s="412">
        <f t="shared" si="6"/>
      </c>
      <c r="Y18" s="412">
        <f t="shared" si="6"/>
      </c>
      <c r="Z18" s="385">
        <f t="shared" si="7"/>
      </c>
      <c r="AA18" s="413">
        <f t="shared" si="8"/>
      </c>
      <c r="AB18" s="173">
        <f t="shared" si="9"/>
        <v>0</v>
      </c>
      <c r="AC18" s="414">
        <f t="shared" si="10"/>
        <v>0</v>
      </c>
      <c r="AD18" s="146">
        <f t="shared" si="11"/>
        <v>0</v>
      </c>
      <c r="AE18" s="415"/>
      <c r="AF18" s="272"/>
      <c r="AG18" s="146">
        <f t="shared" si="12"/>
        <v>0</v>
      </c>
      <c r="AH18" s="146">
        <f t="shared" si="13"/>
        <v>0</v>
      </c>
      <c r="AI18" s="146">
        <f t="shared" si="14"/>
        <v>0</v>
      </c>
      <c r="AJ18" s="445"/>
    </row>
    <row r="19" spans="1:36" ht="18.75" customHeight="1">
      <c r="A19" s="29">
        <v>12</v>
      </c>
      <c r="B19" s="15"/>
      <c r="C19" s="15"/>
      <c r="D19" s="18"/>
      <c r="E19" s="17"/>
      <c r="F19" s="417"/>
      <c r="G19" s="348">
        <f t="shared" si="0"/>
      </c>
      <c r="H19" s="142"/>
      <c r="I19" s="417">
        <f t="shared" si="1"/>
        <v>0</v>
      </c>
      <c r="J19" s="17"/>
      <c r="K19" s="417"/>
      <c r="L19" s="64"/>
      <c r="M19" s="17"/>
      <c r="N19" s="17"/>
      <c r="O19" s="149">
        <f t="shared" si="2"/>
      </c>
      <c r="P19" s="255"/>
      <c r="Q19" s="61">
        <f t="shared" si="3"/>
        <v>0</v>
      </c>
      <c r="R19" s="160"/>
      <c r="S19" s="405">
        <f t="shared" si="15"/>
        <v>0</v>
      </c>
      <c r="T19" s="411"/>
      <c r="U19" s="272"/>
      <c r="V19" s="416">
        <f t="shared" si="4"/>
        <v>0</v>
      </c>
      <c r="W19" s="413">
        <f t="shared" si="5"/>
      </c>
      <c r="X19" s="412">
        <f t="shared" si="6"/>
      </c>
      <c r="Y19" s="412">
        <f t="shared" si="6"/>
      </c>
      <c r="Z19" s="385">
        <f t="shared" si="7"/>
      </c>
      <c r="AA19" s="413">
        <f t="shared" si="8"/>
      </c>
      <c r="AB19" s="173">
        <f t="shared" si="9"/>
        <v>0</v>
      </c>
      <c r="AC19" s="414">
        <f t="shared" si="10"/>
        <v>0</v>
      </c>
      <c r="AD19" s="146">
        <f t="shared" si="11"/>
        <v>0</v>
      </c>
      <c r="AE19" s="415"/>
      <c r="AF19" s="272"/>
      <c r="AG19" s="146">
        <f t="shared" si="12"/>
        <v>0</v>
      </c>
      <c r="AH19" s="146">
        <f t="shared" si="13"/>
        <v>0</v>
      </c>
      <c r="AI19" s="146">
        <f t="shared" si="14"/>
        <v>0</v>
      </c>
      <c r="AJ19" s="445"/>
    </row>
    <row r="20" spans="1:36" ht="18.75" customHeight="1">
      <c r="A20" s="29">
        <v>13</v>
      </c>
      <c r="B20" s="15"/>
      <c r="C20" s="15"/>
      <c r="D20" s="18"/>
      <c r="E20" s="17"/>
      <c r="F20" s="417"/>
      <c r="G20" s="348">
        <f t="shared" si="0"/>
      </c>
      <c r="H20" s="142"/>
      <c r="I20" s="417">
        <f t="shared" si="1"/>
        <v>0</v>
      </c>
      <c r="J20" s="17"/>
      <c r="K20" s="417"/>
      <c r="L20" s="64"/>
      <c r="M20" s="17"/>
      <c r="N20" s="17"/>
      <c r="O20" s="149">
        <f t="shared" si="2"/>
      </c>
      <c r="P20" s="255"/>
      <c r="Q20" s="61">
        <f t="shared" si="3"/>
        <v>0</v>
      </c>
      <c r="R20" s="160"/>
      <c r="S20" s="405">
        <f t="shared" si="15"/>
        <v>0</v>
      </c>
      <c r="T20" s="411"/>
      <c r="U20" s="272"/>
      <c r="V20" s="416">
        <f t="shared" si="4"/>
        <v>0</v>
      </c>
      <c r="W20" s="413">
        <f t="shared" si="5"/>
      </c>
      <c r="X20" s="412">
        <f t="shared" si="6"/>
      </c>
      <c r="Y20" s="412">
        <f t="shared" si="6"/>
      </c>
      <c r="Z20" s="385">
        <f t="shared" si="7"/>
      </c>
      <c r="AA20" s="413">
        <f t="shared" si="8"/>
      </c>
      <c r="AB20" s="173">
        <f t="shared" si="9"/>
        <v>0</v>
      </c>
      <c r="AC20" s="414">
        <f t="shared" si="10"/>
        <v>0</v>
      </c>
      <c r="AD20" s="146">
        <f t="shared" si="11"/>
        <v>0</v>
      </c>
      <c r="AE20" s="415"/>
      <c r="AF20" s="272"/>
      <c r="AG20" s="146">
        <f t="shared" si="12"/>
        <v>0</v>
      </c>
      <c r="AH20" s="146">
        <f t="shared" si="13"/>
        <v>0</v>
      </c>
      <c r="AI20" s="146">
        <f t="shared" si="14"/>
        <v>0</v>
      </c>
      <c r="AJ20" s="445"/>
    </row>
    <row r="21" spans="1:36" ht="18.75" customHeight="1">
      <c r="A21" s="29">
        <v>14</v>
      </c>
      <c r="B21" s="15"/>
      <c r="C21" s="15"/>
      <c r="D21" s="18"/>
      <c r="E21" s="17"/>
      <c r="F21" s="417"/>
      <c r="G21" s="348">
        <f t="shared" si="0"/>
      </c>
      <c r="H21" s="142"/>
      <c r="I21" s="417">
        <f t="shared" si="1"/>
        <v>0</v>
      </c>
      <c r="J21" s="17"/>
      <c r="K21" s="417"/>
      <c r="L21" s="64"/>
      <c r="M21" s="17"/>
      <c r="N21" s="17"/>
      <c r="O21" s="149">
        <f t="shared" si="2"/>
      </c>
      <c r="P21" s="255"/>
      <c r="Q21" s="61">
        <f t="shared" si="3"/>
        <v>0</v>
      </c>
      <c r="R21" s="160"/>
      <c r="S21" s="405">
        <f t="shared" si="15"/>
        <v>0</v>
      </c>
      <c r="T21" s="411"/>
      <c r="U21" s="272"/>
      <c r="V21" s="416">
        <f t="shared" si="4"/>
        <v>0</v>
      </c>
      <c r="W21" s="413">
        <f t="shared" si="5"/>
      </c>
      <c r="X21" s="412">
        <f t="shared" si="6"/>
      </c>
      <c r="Y21" s="412">
        <f t="shared" si="6"/>
      </c>
      <c r="Z21" s="385">
        <f t="shared" si="7"/>
      </c>
      <c r="AA21" s="413">
        <f t="shared" si="8"/>
      </c>
      <c r="AB21" s="173">
        <f t="shared" si="9"/>
        <v>0</v>
      </c>
      <c r="AC21" s="414">
        <f t="shared" si="10"/>
        <v>0</v>
      </c>
      <c r="AD21" s="146">
        <f t="shared" si="11"/>
        <v>0</v>
      </c>
      <c r="AE21" s="415"/>
      <c r="AF21" s="272"/>
      <c r="AG21" s="146">
        <f t="shared" si="12"/>
        <v>0</v>
      </c>
      <c r="AH21" s="146">
        <f t="shared" si="13"/>
        <v>0</v>
      </c>
      <c r="AI21" s="146">
        <f t="shared" si="14"/>
        <v>0</v>
      </c>
      <c r="AJ21" s="445"/>
    </row>
    <row r="22" spans="1:36" ht="18.75" customHeight="1">
      <c r="A22" s="29">
        <v>15</v>
      </c>
      <c r="B22" s="15"/>
      <c r="C22" s="15"/>
      <c r="D22" s="18"/>
      <c r="E22" s="17"/>
      <c r="F22" s="417"/>
      <c r="G22" s="348">
        <f t="shared" si="0"/>
      </c>
      <c r="H22" s="142"/>
      <c r="I22" s="417">
        <f t="shared" si="1"/>
        <v>0</v>
      </c>
      <c r="J22" s="17"/>
      <c r="K22" s="417"/>
      <c r="L22" s="64"/>
      <c r="M22" s="17"/>
      <c r="N22" s="17"/>
      <c r="O22" s="149">
        <f t="shared" si="2"/>
      </c>
      <c r="P22" s="255"/>
      <c r="Q22" s="61">
        <f t="shared" si="3"/>
        <v>0</v>
      </c>
      <c r="R22" s="160"/>
      <c r="S22" s="405">
        <f t="shared" si="15"/>
        <v>0</v>
      </c>
      <c r="T22" s="411"/>
      <c r="U22" s="272"/>
      <c r="V22" s="416">
        <f t="shared" si="4"/>
        <v>0</v>
      </c>
      <c r="W22" s="413">
        <f t="shared" si="5"/>
      </c>
      <c r="X22" s="412">
        <f t="shared" si="6"/>
      </c>
      <c r="Y22" s="412">
        <f t="shared" si="6"/>
      </c>
      <c r="Z22" s="385">
        <f t="shared" si="7"/>
      </c>
      <c r="AA22" s="413">
        <f t="shared" si="8"/>
      </c>
      <c r="AB22" s="173">
        <f t="shared" si="9"/>
        <v>0</v>
      </c>
      <c r="AC22" s="414">
        <f t="shared" si="10"/>
        <v>0</v>
      </c>
      <c r="AD22" s="146">
        <f t="shared" si="11"/>
        <v>0</v>
      </c>
      <c r="AE22" s="415"/>
      <c r="AF22" s="272"/>
      <c r="AG22" s="146">
        <f t="shared" si="12"/>
        <v>0</v>
      </c>
      <c r="AH22" s="146">
        <f t="shared" si="13"/>
        <v>0</v>
      </c>
      <c r="AI22" s="146">
        <f t="shared" si="14"/>
        <v>0</v>
      </c>
      <c r="AJ22" s="445"/>
    </row>
    <row r="23" spans="1:36" ht="18.75" customHeight="1">
      <c r="A23" s="29">
        <v>16</v>
      </c>
      <c r="B23" s="15"/>
      <c r="C23" s="15"/>
      <c r="D23" s="18"/>
      <c r="E23" s="17"/>
      <c r="F23" s="417"/>
      <c r="G23" s="348">
        <f t="shared" si="0"/>
      </c>
      <c r="H23" s="142"/>
      <c r="I23" s="417">
        <f t="shared" si="1"/>
        <v>0</v>
      </c>
      <c r="J23" s="17"/>
      <c r="K23" s="417"/>
      <c r="L23" s="64"/>
      <c r="M23" s="17"/>
      <c r="N23" s="17"/>
      <c r="O23" s="149">
        <f t="shared" si="2"/>
      </c>
      <c r="P23" s="255"/>
      <c r="Q23" s="61">
        <f t="shared" si="3"/>
        <v>0</v>
      </c>
      <c r="R23" s="160"/>
      <c r="S23" s="405">
        <f t="shared" si="15"/>
        <v>0</v>
      </c>
      <c r="T23" s="411"/>
      <c r="U23" s="272"/>
      <c r="V23" s="416">
        <f t="shared" si="4"/>
        <v>0</v>
      </c>
      <c r="W23" s="413">
        <f t="shared" si="5"/>
      </c>
      <c r="X23" s="412">
        <f t="shared" si="6"/>
      </c>
      <c r="Y23" s="412">
        <f t="shared" si="6"/>
      </c>
      <c r="Z23" s="385">
        <f t="shared" si="7"/>
      </c>
      <c r="AA23" s="413">
        <f t="shared" si="8"/>
      </c>
      <c r="AB23" s="173">
        <f t="shared" si="9"/>
        <v>0</v>
      </c>
      <c r="AC23" s="414">
        <f t="shared" si="10"/>
        <v>0</v>
      </c>
      <c r="AD23" s="146">
        <f t="shared" si="11"/>
        <v>0</v>
      </c>
      <c r="AE23" s="415"/>
      <c r="AF23" s="272"/>
      <c r="AG23" s="146">
        <f t="shared" si="12"/>
        <v>0</v>
      </c>
      <c r="AH23" s="146">
        <f t="shared" si="13"/>
        <v>0</v>
      </c>
      <c r="AI23" s="146">
        <f t="shared" si="14"/>
        <v>0</v>
      </c>
      <c r="AJ23" s="445"/>
    </row>
    <row r="24" spans="1:36" ht="18.75" customHeight="1">
      <c r="A24" s="29">
        <v>17</v>
      </c>
      <c r="B24" s="15"/>
      <c r="C24" s="15"/>
      <c r="D24" s="18"/>
      <c r="E24" s="17"/>
      <c r="F24" s="417"/>
      <c r="G24" s="348">
        <f t="shared" si="0"/>
      </c>
      <c r="H24" s="142"/>
      <c r="I24" s="417">
        <f t="shared" si="1"/>
        <v>0</v>
      </c>
      <c r="J24" s="17"/>
      <c r="K24" s="417"/>
      <c r="L24" s="64"/>
      <c r="M24" s="17"/>
      <c r="N24" s="17"/>
      <c r="O24" s="149">
        <f t="shared" si="2"/>
      </c>
      <c r="P24" s="255"/>
      <c r="Q24" s="61">
        <f t="shared" si="3"/>
        <v>0</v>
      </c>
      <c r="R24" s="160"/>
      <c r="S24" s="405">
        <f t="shared" si="15"/>
        <v>0</v>
      </c>
      <c r="T24" s="411"/>
      <c r="U24" s="272"/>
      <c r="V24" s="416">
        <f t="shared" si="4"/>
        <v>0</v>
      </c>
      <c r="W24" s="413">
        <f t="shared" si="5"/>
      </c>
      <c r="X24" s="412">
        <f t="shared" si="6"/>
      </c>
      <c r="Y24" s="412">
        <f t="shared" si="6"/>
      </c>
      <c r="Z24" s="385">
        <f t="shared" si="7"/>
      </c>
      <c r="AA24" s="413">
        <f t="shared" si="8"/>
      </c>
      <c r="AB24" s="173">
        <f t="shared" si="9"/>
        <v>0</v>
      </c>
      <c r="AC24" s="414">
        <f t="shared" si="10"/>
        <v>0</v>
      </c>
      <c r="AD24" s="146">
        <f t="shared" si="11"/>
        <v>0</v>
      </c>
      <c r="AE24" s="415"/>
      <c r="AF24" s="272"/>
      <c r="AG24" s="146">
        <f t="shared" si="12"/>
        <v>0</v>
      </c>
      <c r="AH24" s="146">
        <f t="shared" si="13"/>
        <v>0</v>
      </c>
      <c r="AI24" s="146">
        <f t="shared" si="14"/>
        <v>0</v>
      </c>
      <c r="AJ24" s="445"/>
    </row>
    <row r="25" spans="1:36" ht="18.75" customHeight="1">
      <c r="A25" s="29">
        <v>18</v>
      </c>
      <c r="B25" s="15"/>
      <c r="C25" s="15"/>
      <c r="D25" s="18"/>
      <c r="E25" s="17"/>
      <c r="F25" s="417"/>
      <c r="G25" s="348">
        <f>IF(H25&lt;&gt;"",A25&amp;"f","")</f>
      </c>
      <c r="H25" s="142"/>
      <c r="I25" s="417">
        <f>IF(F25=0,0,F25)</f>
        <v>0</v>
      </c>
      <c r="J25" s="17"/>
      <c r="K25" s="417"/>
      <c r="L25" s="64"/>
      <c r="M25" s="17"/>
      <c r="N25" s="17"/>
      <c r="O25" s="149">
        <f>IF(AND(K25&gt;0,M25&lt;&gt;"",N25&lt;&gt;""),N25-M25+1,"")</f>
      </c>
      <c r="P25" s="255"/>
      <c r="Q25" s="61">
        <f>IF(OR(O25&lt;&gt;"",P25&lt;&gt;""),IF(P25="L",K25,IF(ROUND(K25*O25/(DATE(YEAR(M25)+3,MONTH(M25),DAY(M25))-M25),2)&gt;K25,K25,ROUND(K25*O25/(DATE(YEAR(M25)+3,MONTH(M25),DAY(M25))-M25),2))),0)</f>
        <v>0</v>
      </c>
      <c r="R25" s="160"/>
      <c r="S25" s="405">
        <f>Q25-R25</f>
        <v>0</v>
      </c>
      <c r="T25" s="411"/>
      <c r="U25" s="272"/>
      <c r="V25" s="416">
        <f>K25</f>
        <v>0</v>
      </c>
      <c r="W25" s="413">
        <f>IF(L25="","",L25)</f>
      </c>
      <c r="X25" s="412">
        <f>IF(M25&lt;&gt;"",M25,"")</f>
      </c>
      <c r="Y25" s="412">
        <f>IF(N25&lt;&gt;"",N25,"")</f>
      </c>
      <c r="Z25" s="385">
        <f>IF(AND(V25&gt;0,X25&lt;&gt;"",Y25&lt;&gt;""),Y25-X25+1,"")</f>
      </c>
      <c r="AA25" s="413">
        <f>IF(P25="","",P25)</f>
      </c>
      <c r="AB25" s="173">
        <f>IF(OR(Z25&lt;&gt;"",AA25&lt;&gt;""),IF(AA25="L",V25,IF(ROUND(V25*Z25/(DATE(YEAR(X25)+3,MONTH(X25),DAY(X25))-X25),2)&gt;V25,V25,ROUND(V25*Z25/(DATE(YEAR(X25)+3,MONTH(X25),DAY(X25))-X25),2))),0)</f>
        <v>0</v>
      </c>
      <c r="AC25" s="414">
        <f>R25</f>
        <v>0</v>
      </c>
      <c r="AD25" s="146">
        <f>AB25-AC25</f>
        <v>0</v>
      </c>
      <c r="AE25" s="415"/>
      <c r="AF25" s="272"/>
      <c r="AG25" s="146">
        <f>AB25</f>
        <v>0</v>
      </c>
      <c r="AH25" s="146">
        <f>AC25</f>
        <v>0</v>
      </c>
      <c r="AI25" s="146">
        <f>AG25-AH25</f>
        <v>0</v>
      </c>
      <c r="AJ25" s="445"/>
    </row>
    <row r="26" spans="1:36" s="56" customFormat="1" ht="12.75" customHeight="1">
      <c r="A26" s="533" t="s">
        <v>18</v>
      </c>
      <c r="B26" s="45" t="str">
        <f>"TOTALE "&amp;IF(riepilogo!scelta="I","PROCESSI","RICERCA")</f>
        <v>TOTALE RICERCA</v>
      </c>
      <c r="C26" s="122"/>
      <c r="D26" s="594">
        <f>COUNTA(D8:D25)</f>
        <v>0</v>
      </c>
      <c r="E26" s="62"/>
      <c r="F26" s="589"/>
      <c r="G26" s="354"/>
      <c r="H26" s="54"/>
      <c r="I26" s="156"/>
      <c r="J26" s="62"/>
      <c r="K26" s="55">
        <f>IF($F8=0,0,IF(riepilogo!scelta="I",SUMIF($L8:$L25,"P",K8:K25),SUMIF($L8:$L25,"R",K8:K25)))</f>
        <v>0</v>
      </c>
      <c r="L26" s="63"/>
      <c r="M26" s="54"/>
      <c r="O26" s="45"/>
      <c r="P26" s="63"/>
      <c r="Q26" s="55">
        <f>IF($F8=0,0,IF(riepilogo!scelta="I",SUMIF($L8:$L25,"P",Q8:Q25),SUMIF($L8:$L25,"R",Q8:Q25)))</f>
        <v>0</v>
      </c>
      <c r="R26" s="55">
        <f>IF($F8=0,0,IF(riepilogo!scelta="I",SUMIF($L8:$L25,"P",R8:R25),SUMIF($L8:$L25,"R",R8:R25)))</f>
        <v>0</v>
      </c>
      <c r="S26" s="55">
        <f>IF($F8=0,0,IF(riepilogo!scelta="I",SUMIF($L8:$L25,"P",S8:S25),SUMIF($L8:$L25,"R",S8:S25)))</f>
        <v>0</v>
      </c>
      <c r="T26" s="606">
        <f>COUNTIF(T8:T25,"=x")</f>
        <v>0</v>
      </c>
      <c r="U26" s="605" t="e">
        <f>ROUNDDOWN(T26/D26,4)</f>
        <v>#DIV/0!</v>
      </c>
      <c r="V26" s="153">
        <f>IF($F$8=0,0,IF(riepilogo!scelta="I",SUMIF($W$8:$W$25,"P",V$8:V$25),SUMIF($W$8:$W$25,"R",V$8:V$25)))</f>
        <v>0</v>
      </c>
      <c r="W26" s="400"/>
      <c r="X26" s="397"/>
      <c r="Y26" s="398"/>
      <c r="Z26" s="399"/>
      <c r="AA26" s="400"/>
      <c r="AB26" s="153">
        <f>IF($F$8=0,0,IF(riepilogo!scelta="I",SUMIF($W$8:$W$25,"P",AB$8:AB$25),SUMIF($W$8:$W$25,"R",AB$8:AB$25)))</f>
        <v>0</v>
      </c>
      <c r="AC26" s="153">
        <f>IF($F$8=0,0,IF(riepilogo!scelta="I",SUMIF($W$8:$W$25,"P",AC$8:AC$25),SUMIF($W$8:$W$25,"R",AC$8:AC$25)))</f>
        <v>0</v>
      </c>
      <c r="AD26" s="153">
        <f>IF($F$8=0,0,IF(riepilogo!scelta="I",SUMIF($W$8:$W$25,"P",AD$8:AD$25),SUMIF($W$8:$W$25,"R",AD$8:AD$25)))</f>
        <v>0</v>
      </c>
      <c r="AE26" s="476"/>
      <c r="AF26" s="273"/>
      <c r="AG26" s="153">
        <f>IF($F$8=0,0,IF(riepilogo!scelta="I",SUMIF($W$8:$W$25,"P",AG$8:AG$25),SUMIF($W$8:$W$25,"R",AG$8:AG$25)))</f>
        <v>0</v>
      </c>
      <c r="AH26" s="153">
        <f>IF($F$8=0,0,IF(riepilogo!scelta="I",SUMIF($W$8:$W$25,"P",AH$8:AH$25),SUMIF($W$8:$W$25,"R",AH$8:AH$25)))</f>
        <v>0</v>
      </c>
      <c r="AI26" s="153">
        <f>IF($F$8=0,0,IF(riepilogo!scelta="I",SUMIF($W$8:$W$25,"P",AI$8:AI$25),SUMIF($W$8:$W$25,"R",AI$8:AI$25)))</f>
        <v>0</v>
      </c>
      <c r="AJ26" s="447"/>
    </row>
    <row r="27" spans="1:36" s="56" customFormat="1" ht="12.75" customHeight="1">
      <c r="A27" s="480"/>
      <c r="B27" s="45" t="str">
        <f>"TOTALE "&amp;IF(riepilogo!scelta="I","ORGANIZZAZIONE","SVILUPPO")</f>
        <v>TOTALE SVILUPPO</v>
      </c>
      <c r="C27" s="122"/>
      <c r="D27" s="53"/>
      <c r="E27" s="62"/>
      <c r="F27" s="590"/>
      <c r="G27" s="354"/>
      <c r="H27" s="54"/>
      <c r="I27" s="156"/>
      <c r="J27" s="62"/>
      <c r="K27" s="55">
        <f>IF($F8=0,0,IF(riepilogo!scelta="I",SUMIF($L8:$L25,"O",K8:K25),SUMIF($L8:$L25,"S",K8:K25)))</f>
        <v>0</v>
      </c>
      <c r="L27" s="63"/>
      <c r="M27" s="54"/>
      <c r="O27" s="45"/>
      <c r="P27" s="63"/>
      <c r="Q27" s="55">
        <f>IF($F8=0,0,IF(riepilogo!scelta="I",SUMIF($L8:$L25,"O",Q8:Q25),SUMIF($L8:$L25,"S",Q8:Q25)))</f>
        <v>0</v>
      </c>
      <c r="R27" s="55">
        <f>IF($F8=0,0,IF(riepilogo!scelta="I",SUMIF($L8:$L25,"O",R8:R25),SUMIF($L8:$L25,"S",R8:R25)))</f>
        <v>0</v>
      </c>
      <c r="S27" s="55">
        <f>IF($F8=0,0,IF(riepilogo!scelta="I",SUMIF($L8:$L25,"O",S8:S25),SUMIF($L8:$L25,"S",S8:S25)))</f>
        <v>0</v>
      </c>
      <c r="T27" s="410">
        <f>IF(AND(S26=0,S27=0),0,SUMIF(T8:T25,"x",S8:S25))</f>
        <v>0</v>
      </c>
      <c r="U27" s="605" t="e">
        <f>ROUNDDOWN(T27/S28,4)</f>
        <v>#DIV/0!</v>
      </c>
      <c r="V27" s="153">
        <f>IF($F$8=0,0,IF(riepilogo!scelta="I",SUMIF($W$8:$W$25,"O",V$8:V$25),SUMIF($W$8:$W$25,"S",V$8:V$25)))</f>
        <v>0</v>
      </c>
      <c r="W27" s="400"/>
      <c r="X27" s="397"/>
      <c r="Y27" s="398"/>
      <c r="Z27" s="399"/>
      <c r="AA27" s="400"/>
      <c r="AB27" s="153">
        <f>IF($F$8=0,0,IF(riepilogo!scelta="I",SUMIF($W$8:$W$25,"O",AB$8:AB$25),SUMIF($W$8:$W$25,"S",AB$8:AB$25)))</f>
        <v>0</v>
      </c>
      <c r="AC27" s="153">
        <f>IF($F$8=0,0,IF(riepilogo!scelta="I",SUMIF($W$8:$W$25,"O",AC$8:AC$25),SUMIF($W$8:$W$25,"S",AC$8:AC$25)))</f>
        <v>0</v>
      </c>
      <c r="AD27" s="153">
        <f>IF($F$8=0,0,IF(riepilogo!scelta="I",SUMIF($W$8:$W$25,"O",AD$8:AD$25),SUMIF($W$8:$W$25,"S",AD$8:AD$25)))</f>
        <v>0</v>
      </c>
      <c r="AE27" s="269">
        <f>IF(AND(AD26=0,AD27=0),0,SUMIF(AE8:AE25,"x",AD8:AD25))</f>
        <v>0</v>
      </c>
      <c r="AF27" s="605" t="e">
        <f>ROUNDDOWN(AE27/AD28,4)</f>
        <v>#DIV/0!</v>
      </c>
      <c r="AG27" s="153">
        <f>IF($F$8=0,0,IF(riepilogo!scelta="I",SUMIF($W$8:$W$25,"O",AG$8:AG$25),SUMIF($W$8:$W$25,"S",AG$8:AG$25)))</f>
        <v>0</v>
      </c>
      <c r="AH27" s="153">
        <f>IF($F$8=0,0,IF(riepilogo!scelta="I",SUMIF($W$8:$W$25,"O",AH$8:AH$25),SUMIF($W$8:$W$25,"S",AH$8:AH$25)))</f>
        <v>0</v>
      </c>
      <c r="AI27" s="153">
        <f>IF($F$8=0,0,IF(riepilogo!scelta="I",SUMIF($W$8:$W$25,"O",AI$8:AI$25),SUMIF($W$8:$W$25,"S",AI$8:AI$25)))</f>
        <v>0</v>
      </c>
      <c r="AJ27" s="447"/>
    </row>
    <row r="28" spans="2:35" ht="47.25" customHeight="1">
      <c r="B28" s="678" t="s">
        <v>158</v>
      </c>
      <c r="C28" s="678"/>
      <c r="D28" s="678"/>
      <c r="E28" s="678"/>
      <c r="F28" s="678"/>
      <c r="G28" s="678"/>
      <c r="H28" s="678"/>
      <c r="I28" s="678"/>
      <c r="J28" s="678"/>
      <c r="K28" s="678"/>
      <c r="L28" s="678"/>
      <c r="M28" s="678"/>
      <c r="N28" s="678"/>
      <c r="O28" s="678"/>
      <c r="P28" s="678"/>
      <c r="Q28" s="580">
        <f>SUM(Q26:Q27)</f>
        <v>0</v>
      </c>
      <c r="R28" s="586">
        <f aca="true" t="shared" si="16" ref="R28:AI28">SUM(R26:R27)</f>
        <v>0</v>
      </c>
      <c r="S28" s="580">
        <f t="shared" si="16"/>
        <v>0</v>
      </c>
      <c r="T28" s="587"/>
      <c r="U28" s="207" t="e">
        <f t="shared" si="16"/>
        <v>#DIV/0!</v>
      </c>
      <c r="V28" s="588">
        <f t="shared" si="16"/>
        <v>0</v>
      </c>
      <c r="W28" s="588"/>
      <c r="X28" s="588"/>
      <c r="Y28" s="588"/>
      <c r="Z28" s="588"/>
      <c r="AA28" s="588"/>
      <c r="AB28" s="588">
        <f t="shared" si="16"/>
        <v>0</v>
      </c>
      <c r="AC28" s="567">
        <f t="shared" si="16"/>
        <v>0</v>
      </c>
      <c r="AD28" s="585">
        <f t="shared" si="16"/>
        <v>0</v>
      </c>
      <c r="AE28" s="585">
        <f t="shared" si="16"/>
        <v>0</v>
      </c>
      <c r="AF28" s="588" t="e">
        <f t="shared" si="16"/>
        <v>#DIV/0!</v>
      </c>
      <c r="AG28" s="585">
        <f t="shared" si="16"/>
        <v>0</v>
      </c>
      <c r="AH28" s="585">
        <f t="shared" si="16"/>
        <v>0</v>
      </c>
      <c r="AI28" s="585">
        <f t="shared" si="16"/>
        <v>0</v>
      </c>
    </row>
  </sheetData>
  <sheetProtection password="CC84" sheet="1" objects="1" scenarios="1" formatColumns="0" formatRows="0"/>
  <mergeCells count="13">
    <mergeCell ref="B6:B7"/>
    <mergeCell ref="B28:P28"/>
    <mergeCell ref="AJ6:AJ7"/>
    <mergeCell ref="D6:F6"/>
    <mergeCell ref="AG6:AI6"/>
    <mergeCell ref="K6:S6"/>
    <mergeCell ref="T6:T7"/>
    <mergeCell ref="AE6:AE7"/>
    <mergeCell ref="V6:AD6"/>
    <mergeCell ref="U6:U7"/>
    <mergeCell ref="AF6:AF7"/>
    <mergeCell ref="G6:J6"/>
    <mergeCell ref="C6:C7"/>
  </mergeCells>
  <conditionalFormatting sqref="AE8:AE25">
    <cfRule type="cellIs" priority="1" dxfId="2" operator="notEqual" stopIfTrue="1">
      <formula>T8</formula>
    </cfRule>
  </conditionalFormatting>
  <conditionalFormatting sqref="E8:E25">
    <cfRule type="cellIs" priority="2" dxfId="2" operator="lessThan" stopIfTrue="1">
      <formula>$D$1</formula>
    </cfRule>
    <cfRule type="cellIs" priority="3" dxfId="2" operator="greaterThan" stopIfTrue="1">
      <formula>$D$2</formula>
    </cfRule>
  </conditionalFormatting>
  <conditionalFormatting sqref="AB8:AB25">
    <cfRule type="cellIs" priority="4" dxfId="2" operator="greaterThan" stopIfTrue="1">
      <formula>V8</formula>
    </cfRule>
  </conditionalFormatting>
  <conditionalFormatting sqref="M8:M25">
    <cfRule type="cellIs" priority="5" dxfId="2" operator="lessThan" stopIfTrue="1">
      <formula>E8</formula>
    </cfRule>
    <cfRule type="cellIs" priority="6" dxfId="2" operator="greaterThan" stopIfTrue="1">
      <formula>$D$2</formula>
    </cfRule>
  </conditionalFormatting>
  <conditionalFormatting sqref="N8:N25">
    <cfRule type="cellIs" priority="7" dxfId="2" operator="lessThan" stopIfTrue="1">
      <formula>E8</formula>
    </cfRule>
    <cfRule type="cellIs" priority="8" dxfId="2" operator="greaterThan" stopIfTrue="1">
      <formula>$D$2</formula>
    </cfRule>
  </conditionalFormatting>
  <conditionalFormatting sqref="L8:L25">
    <cfRule type="cellIs" priority="9" dxfId="0" operator="equal" stopIfTrue="1">
      <formula>"S"</formula>
    </cfRule>
    <cfRule type="cellIs" priority="10" dxfId="1" operator="equal" stopIfTrue="1">
      <formula>"O"</formula>
    </cfRule>
  </conditionalFormatting>
  <dataValidations count="3">
    <dataValidation allowBlank="1" showInputMessage="1" showErrorMessage="1" prompt="riportare costo acquisto del bene al netto iva o, in caso di leasing, quota capitale al netto oneri finanziari" sqref="K8:K25"/>
    <dataValidation type="list" allowBlank="1" showInputMessage="1" showErrorMessage="1" sqref="H8:H25">
      <formula1>tipopagamento</formula1>
    </dataValidation>
    <dataValidation allowBlank="1" showInputMessage="1" showErrorMessage="1" prompt="le righe si possono allargare" sqref="B8:B10"/>
  </dataValidations>
  <printOptions/>
  <pageMargins left="0.1968503937007874" right="0.15748031496062992" top="0.3937007874015748" bottom="0.3937007874015748" header="0.31496062992125984" footer="0.3937007874015748"/>
  <pageSetup fitToHeight="100" fitToWidth="1" horizontalDpi="600" verticalDpi="600" orientation="landscape" paperSize="9" scale="99" r:id="rId1"/>
  <headerFooter alignWithMargins="0">
    <oddFooter>&amp;R&amp;"Verdana,Normale"&amp;8&amp;P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35">
    <tabColor indexed="50"/>
    <pageSetUpPr fitToPage="1"/>
  </sheetPr>
  <dimension ref="A1:AA30"/>
  <sheetViews>
    <sheetView workbookViewId="0" topLeftCell="A1">
      <selection activeCell="B3" sqref="B3"/>
    </sheetView>
  </sheetViews>
  <sheetFormatPr defaultColWidth="9.140625" defaultRowHeight="12.75"/>
  <cols>
    <col min="1" max="1" width="2.57421875" style="478" customWidth="1"/>
    <col min="2" max="2" width="25.8515625" style="19" customWidth="1"/>
    <col min="3" max="3" width="25.421875" style="19" customWidth="1"/>
    <col min="4" max="4" width="6.28125" style="23" customWidth="1"/>
    <col min="5" max="5" width="6.421875" style="27" customWidth="1"/>
    <col min="6" max="6" width="9.57421875" style="19" customWidth="1"/>
    <col min="7" max="7" width="5.140625" style="350" customWidth="1"/>
    <col min="8" max="8" width="9.140625" style="140" customWidth="1"/>
    <col min="9" max="9" width="9.8515625" style="27" customWidth="1"/>
    <col min="10" max="10" width="9.8515625" style="155" customWidth="1"/>
    <col min="11" max="11" width="13.421875" style="19" customWidth="1"/>
    <col min="12" max="12" width="2.57421875" style="23" customWidth="1"/>
    <col min="13" max="13" width="10.28125" style="19" customWidth="1"/>
    <col min="14" max="14" width="10.421875" style="19" customWidth="1"/>
    <col min="15" max="15" width="5.28125" style="429" hidden="1" customWidth="1"/>
    <col min="16" max="16" width="5.8515625" style="262" hidden="1" customWidth="1"/>
    <col min="17" max="17" width="11.421875" style="108" hidden="1" customWidth="1"/>
    <col min="18" max="18" width="2.00390625" style="262" hidden="1" customWidth="1"/>
    <col min="19" max="19" width="5.28125" style="262" hidden="1" customWidth="1"/>
    <col min="20" max="20" width="5.7109375" style="270" hidden="1" customWidth="1"/>
    <col min="21" max="22" width="10.8515625" style="147" hidden="1" customWidth="1"/>
    <col min="23" max="23" width="12.8515625" style="147" hidden="1" customWidth="1"/>
    <col min="24" max="24" width="44.28125" style="180" hidden="1" customWidth="1"/>
    <col min="25" max="16384" width="9.140625" style="19" customWidth="1"/>
  </cols>
  <sheetData>
    <row r="1" spans="1:24" ht="17.25" customHeight="1">
      <c r="A1" s="481" t="s">
        <v>49</v>
      </c>
      <c r="B1" s="72" t="s">
        <v>74</v>
      </c>
      <c r="C1" s="72"/>
      <c r="D1" s="165">
        <f>datainizioprogetto</f>
        <v>0</v>
      </c>
      <c r="F1" s="48"/>
      <c r="G1" s="349"/>
      <c r="H1" s="141"/>
      <c r="M1" s="49"/>
      <c r="N1" s="49" t="s">
        <v>11</v>
      </c>
      <c r="O1" s="403" t="s">
        <v>124</v>
      </c>
      <c r="P1" s="261"/>
      <c r="Q1" s="264"/>
      <c r="R1" s="261"/>
      <c r="S1" s="261"/>
      <c r="T1" s="271"/>
      <c r="U1" s="145"/>
      <c r="V1" s="145"/>
      <c r="W1" s="145"/>
      <c r="X1" s="49" t="s">
        <v>11</v>
      </c>
    </row>
    <row r="2" spans="1:24" ht="17.25" customHeight="1" thickBot="1">
      <c r="A2" s="477"/>
      <c r="B2" s="48"/>
      <c r="C2" s="48"/>
      <c r="D2" s="165">
        <f>datafineprogetto</f>
        <v>0</v>
      </c>
      <c r="F2" s="48"/>
      <c r="G2" s="349"/>
      <c r="H2" s="141"/>
      <c r="M2" s="50"/>
      <c r="N2" s="50" t="s">
        <v>149</v>
      </c>
      <c r="O2" s="428"/>
      <c r="P2" s="261"/>
      <c r="Q2" s="264"/>
      <c r="R2" s="261"/>
      <c r="S2" s="261"/>
      <c r="T2" s="271"/>
      <c r="U2" s="145"/>
      <c r="V2" s="145"/>
      <c r="W2" s="145"/>
      <c r="X2" s="50" t="str">
        <f>"rendicontazione "&amp;IF(riepilogo!scelta="R","Ricerca",IF(riepilogo!scelta="I","Innovazione processi",""))&amp;" - elenco g)"</f>
        <v>rendicontazione  - elenco g)</v>
      </c>
    </row>
    <row r="3" spans="2:27" ht="24.75" customHeight="1" thickBot="1" thickTop="1">
      <c r="B3" s="36" t="s">
        <v>10</v>
      </c>
      <c r="C3" s="36"/>
      <c r="E3" s="59"/>
      <c r="H3" s="19"/>
      <c r="I3" s="23"/>
      <c r="M3" s="359"/>
      <c r="N3" s="362"/>
      <c r="O3" s="408"/>
      <c r="P3" s="338"/>
      <c r="Q3" s="338"/>
      <c r="R3" s="484"/>
      <c r="S3" s="338"/>
      <c r="T3" s="338"/>
      <c r="U3" s="340"/>
      <c r="V3" s="340" t="s">
        <v>87</v>
      </c>
      <c r="W3" s="340"/>
      <c r="X3" s="339"/>
      <c r="Z3" s="151"/>
      <c r="AA3" s="163"/>
    </row>
    <row r="4" spans="2:27" ht="11.25" customHeight="1" thickTop="1">
      <c r="B4" s="148"/>
      <c r="C4" s="148"/>
      <c r="E4" s="59"/>
      <c r="F4" s="39"/>
      <c r="H4" s="19"/>
      <c r="M4" s="359"/>
      <c r="N4" s="362"/>
      <c r="O4" s="409"/>
      <c r="P4" s="48"/>
      <c r="U4" s="39"/>
      <c r="V4" s="39"/>
      <c r="W4" s="39"/>
      <c r="X4" s="188"/>
      <c r="Z4" s="151"/>
      <c r="AA4" s="163"/>
    </row>
    <row r="5" spans="2:27" ht="6.75" customHeight="1">
      <c r="B5" s="48"/>
      <c r="C5" s="48"/>
      <c r="E5" s="59"/>
      <c r="F5" s="39"/>
      <c r="H5" s="19"/>
      <c r="K5" s="39"/>
      <c r="L5" s="24"/>
      <c r="M5" s="39"/>
      <c r="N5" s="39"/>
      <c r="O5" s="409"/>
      <c r="P5" s="48"/>
      <c r="U5" s="39"/>
      <c r="V5" s="39"/>
      <c r="W5" s="39"/>
      <c r="X5" s="181"/>
      <c r="Y5" s="154"/>
      <c r="Z5" s="151"/>
      <c r="AA5" s="23"/>
    </row>
    <row r="6" spans="1:24" s="52" customFormat="1" ht="12" customHeight="1">
      <c r="A6" s="479"/>
      <c r="B6" s="670" t="s">
        <v>109</v>
      </c>
      <c r="C6" s="670" t="s">
        <v>56</v>
      </c>
      <c r="D6" s="667" t="s">
        <v>54</v>
      </c>
      <c r="E6" s="668"/>
      <c r="F6" s="669"/>
      <c r="G6" s="673" t="s">
        <v>133</v>
      </c>
      <c r="H6" s="674"/>
      <c r="I6" s="674"/>
      <c r="J6" s="675"/>
      <c r="K6" s="680" t="s">
        <v>136</v>
      </c>
      <c r="L6" s="680"/>
      <c r="M6" s="680"/>
      <c r="N6" s="680"/>
      <c r="O6" s="660" t="s">
        <v>99</v>
      </c>
      <c r="P6" s="666" t="s">
        <v>178</v>
      </c>
      <c r="Q6" s="662" t="s">
        <v>101</v>
      </c>
      <c r="R6" s="482"/>
      <c r="S6" s="664" t="s">
        <v>100</v>
      </c>
      <c r="T6" s="666" t="s">
        <v>178</v>
      </c>
      <c r="U6" s="617" t="s">
        <v>125</v>
      </c>
      <c r="V6" s="618"/>
      <c r="W6" s="642"/>
      <c r="X6" s="643" t="s">
        <v>59</v>
      </c>
    </row>
    <row r="7" spans="1:24" ht="30.75" customHeight="1">
      <c r="A7" s="480" t="s">
        <v>49</v>
      </c>
      <c r="B7" s="671"/>
      <c r="C7" s="671"/>
      <c r="D7" s="43" t="s">
        <v>55</v>
      </c>
      <c r="E7" s="31" t="s">
        <v>57</v>
      </c>
      <c r="F7" s="43" t="s">
        <v>111</v>
      </c>
      <c r="G7" s="351" t="s">
        <v>55</v>
      </c>
      <c r="H7" s="138" t="s">
        <v>134</v>
      </c>
      <c r="I7" s="138" t="s">
        <v>62</v>
      </c>
      <c r="J7" s="138" t="s">
        <v>135</v>
      </c>
      <c r="K7" s="43" t="s">
        <v>114</v>
      </c>
      <c r="L7" s="44" t="str">
        <f>IF(riepilogo!scelta="I"," P / O"," R / S")</f>
        <v> R / S</v>
      </c>
      <c r="M7" s="43" t="s">
        <v>82</v>
      </c>
      <c r="N7" s="388" t="s">
        <v>84</v>
      </c>
      <c r="O7" s="661"/>
      <c r="P7" s="666"/>
      <c r="Q7" s="663"/>
      <c r="R7" s="483" t="str">
        <f>L7</f>
        <v> R / S</v>
      </c>
      <c r="S7" s="665"/>
      <c r="T7" s="666"/>
      <c r="U7" s="259" t="s">
        <v>94</v>
      </c>
      <c r="V7" s="259" t="s">
        <v>82</v>
      </c>
      <c r="W7" s="259" t="s">
        <v>84</v>
      </c>
      <c r="X7" s="644"/>
    </row>
    <row r="8" spans="1:24" ht="18.75" customHeight="1">
      <c r="A8" s="480">
        <v>1</v>
      </c>
      <c r="B8" s="15"/>
      <c r="C8" s="15"/>
      <c r="D8" s="18"/>
      <c r="E8" s="17"/>
      <c r="F8" s="417"/>
      <c r="G8" s="348">
        <f aca="true" t="shared" si="0" ref="G8:G19">IF(H8&lt;&gt;"",A8&amp;"g","")</f>
      </c>
      <c r="H8" s="142"/>
      <c r="I8" s="386">
        <f>F8</f>
        <v>0</v>
      </c>
      <c r="J8" s="17"/>
      <c r="K8" s="417"/>
      <c r="L8" s="64"/>
      <c r="M8" s="160"/>
      <c r="N8" s="427">
        <f>K8-M8</f>
        <v>0</v>
      </c>
      <c r="O8" s="411"/>
      <c r="P8" s="272"/>
      <c r="Q8" s="146">
        <f>N8</f>
        <v>0</v>
      </c>
      <c r="R8" s="485">
        <f>IF(L8="","",L8)</f>
      </c>
      <c r="S8" s="415"/>
      <c r="T8" s="272"/>
      <c r="U8" s="146">
        <f>K8</f>
        <v>0</v>
      </c>
      <c r="V8" s="146">
        <f>M8</f>
        <v>0</v>
      </c>
      <c r="W8" s="146">
        <f>U8-V8</f>
        <v>0</v>
      </c>
      <c r="X8" s="445"/>
    </row>
    <row r="9" spans="1:24" ht="18.75" customHeight="1">
      <c r="A9" s="480">
        <v>2</v>
      </c>
      <c r="B9" s="15"/>
      <c r="C9" s="15"/>
      <c r="D9" s="18"/>
      <c r="E9" s="17"/>
      <c r="F9" s="417"/>
      <c r="G9" s="348">
        <f t="shared" si="0"/>
      </c>
      <c r="H9" s="142"/>
      <c r="I9" s="386">
        <f aca="true" t="shared" si="1" ref="I9:I19">F9</f>
        <v>0</v>
      </c>
      <c r="J9" s="17"/>
      <c r="K9" s="417"/>
      <c r="L9" s="64"/>
      <c r="M9" s="160"/>
      <c r="N9" s="427">
        <f aca="true" t="shared" si="2" ref="N9:N19">K9-M9</f>
        <v>0</v>
      </c>
      <c r="O9" s="411"/>
      <c r="P9" s="272"/>
      <c r="Q9" s="146">
        <f aca="true" t="shared" si="3" ref="Q9:Q19">N9</f>
        <v>0</v>
      </c>
      <c r="R9" s="485">
        <f aca="true" t="shared" si="4" ref="R9:R19">IF(L9="","",L9)</f>
      </c>
      <c r="S9" s="415"/>
      <c r="T9" s="272"/>
      <c r="U9" s="146">
        <f aca="true" t="shared" si="5" ref="U9:U19">K9</f>
        <v>0</v>
      </c>
      <c r="V9" s="146">
        <f aca="true" t="shared" si="6" ref="V9:V19">M9</f>
        <v>0</v>
      </c>
      <c r="W9" s="146">
        <f aca="true" t="shared" si="7" ref="W9:W19">U9-V9</f>
        <v>0</v>
      </c>
      <c r="X9" s="445"/>
    </row>
    <row r="10" spans="1:24" ht="18.75" customHeight="1">
      <c r="A10" s="480">
        <v>3</v>
      </c>
      <c r="B10" s="15"/>
      <c r="C10" s="15"/>
      <c r="D10" s="18"/>
      <c r="E10" s="17"/>
      <c r="F10" s="417"/>
      <c r="G10" s="348">
        <f t="shared" si="0"/>
      </c>
      <c r="H10" s="142"/>
      <c r="I10" s="386">
        <f t="shared" si="1"/>
        <v>0</v>
      </c>
      <c r="J10" s="17"/>
      <c r="K10" s="417"/>
      <c r="L10" s="64"/>
      <c r="M10" s="160"/>
      <c r="N10" s="427">
        <f t="shared" si="2"/>
        <v>0</v>
      </c>
      <c r="O10" s="411"/>
      <c r="P10" s="272"/>
      <c r="Q10" s="146">
        <f t="shared" si="3"/>
        <v>0</v>
      </c>
      <c r="R10" s="485">
        <f t="shared" si="4"/>
      </c>
      <c r="S10" s="415"/>
      <c r="T10" s="272"/>
      <c r="U10" s="146">
        <f t="shared" si="5"/>
        <v>0</v>
      </c>
      <c r="V10" s="146">
        <f t="shared" si="6"/>
        <v>0</v>
      </c>
      <c r="W10" s="146">
        <f t="shared" si="7"/>
        <v>0</v>
      </c>
      <c r="X10" s="445"/>
    </row>
    <row r="11" spans="1:24" ht="18.75" customHeight="1">
      <c r="A11" s="480">
        <v>4</v>
      </c>
      <c r="B11" s="15"/>
      <c r="C11" s="15"/>
      <c r="D11" s="18"/>
      <c r="E11" s="17"/>
      <c r="F11" s="417"/>
      <c r="G11" s="348">
        <f t="shared" si="0"/>
      </c>
      <c r="H11" s="142"/>
      <c r="I11" s="386">
        <f t="shared" si="1"/>
        <v>0</v>
      </c>
      <c r="J11" s="17"/>
      <c r="K11" s="417"/>
      <c r="L11" s="64"/>
      <c r="M11" s="160"/>
      <c r="N11" s="427">
        <f t="shared" si="2"/>
        <v>0</v>
      </c>
      <c r="O11" s="411"/>
      <c r="P11" s="272"/>
      <c r="Q11" s="146">
        <f t="shared" si="3"/>
        <v>0</v>
      </c>
      <c r="R11" s="485">
        <f t="shared" si="4"/>
      </c>
      <c r="S11" s="415"/>
      <c r="T11" s="272"/>
      <c r="U11" s="146">
        <f t="shared" si="5"/>
        <v>0</v>
      </c>
      <c r="V11" s="146">
        <f t="shared" si="6"/>
        <v>0</v>
      </c>
      <c r="W11" s="146">
        <f t="shared" si="7"/>
        <v>0</v>
      </c>
      <c r="X11" s="445"/>
    </row>
    <row r="12" spans="1:24" ht="18.75" customHeight="1">
      <c r="A12" s="480">
        <v>5</v>
      </c>
      <c r="B12" s="15"/>
      <c r="C12" s="15"/>
      <c r="D12" s="18"/>
      <c r="E12" s="17"/>
      <c r="F12" s="417"/>
      <c r="G12" s="348">
        <f t="shared" si="0"/>
      </c>
      <c r="H12" s="142"/>
      <c r="I12" s="386">
        <f t="shared" si="1"/>
        <v>0</v>
      </c>
      <c r="J12" s="17"/>
      <c r="K12" s="417"/>
      <c r="L12" s="64"/>
      <c r="M12" s="160"/>
      <c r="N12" s="427">
        <f t="shared" si="2"/>
        <v>0</v>
      </c>
      <c r="O12" s="411"/>
      <c r="P12" s="272"/>
      <c r="Q12" s="146">
        <f t="shared" si="3"/>
        <v>0</v>
      </c>
      <c r="R12" s="485">
        <f t="shared" si="4"/>
      </c>
      <c r="S12" s="415"/>
      <c r="T12" s="272"/>
      <c r="U12" s="146">
        <f t="shared" si="5"/>
        <v>0</v>
      </c>
      <c r="V12" s="146">
        <f t="shared" si="6"/>
        <v>0</v>
      </c>
      <c r="W12" s="146">
        <f t="shared" si="7"/>
        <v>0</v>
      </c>
      <c r="X12" s="445"/>
    </row>
    <row r="13" spans="1:24" ht="18.75" customHeight="1">
      <c r="A13" s="480">
        <v>6</v>
      </c>
      <c r="B13" s="15"/>
      <c r="C13" s="15"/>
      <c r="D13" s="18"/>
      <c r="E13" s="17"/>
      <c r="F13" s="417"/>
      <c r="G13" s="348">
        <f t="shared" si="0"/>
      </c>
      <c r="H13" s="142"/>
      <c r="I13" s="386">
        <f t="shared" si="1"/>
        <v>0</v>
      </c>
      <c r="J13" s="17"/>
      <c r="K13" s="417"/>
      <c r="L13" s="64"/>
      <c r="M13" s="160"/>
      <c r="N13" s="427">
        <f t="shared" si="2"/>
        <v>0</v>
      </c>
      <c r="O13" s="411"/>
      <c r="P13" s="272"/>
      <c r="Q13" s="146">
        <f t="shared" si="3"/>
        <v>0</v>
      </c>
      <c r="R13" s="485">
        <f t="shared" si="4"/>
      </c>
      <c r="S13" s="415"/>
      <c r="T13" s="272"/>
      <c r="U13" s="146">
        <f t="shared" si="5"/>
        <v>0</v>
      </c>
      <c r="V13" s="146">
        <f t="shared" si="6"/>
        <v>0</v>
      </c>
      <c r="W13" s="146">
        <f t="shared" si="7"/>
        <v>0</v>
      </c>
      <c r="X13" s="445"/>
    </row>
    <row r="14" spans="1:24" ht="18.75" customHeight="1">
      <c r="A14" s="480">
        <v>7</v>
      </c>
      <c r="B14" s="15"/>
      <c r="C14" s="15"/>
      <c r="D14" s="18"/>
      <c r="E14" s="17"/>
      <c r="F14" s="417"/>
      <c r="G14" s="348">
        <f t="shared" si="0"/>
      </c>
      <c r="H14" s="142"/>
      <c r="I14" s="386">
        <f t="shared" si="1"/>
        <v>0</v>
      </c>
      <c r="J14" s="17"/>
      <c r="K14" s="417"/>
      <c r="L14" s="64"/>
      <c r="M14" s="160"/>
      <c r="N14" s="427">
        <f t="shared" si="2"/>
        <v>0</v>
      </c>
      <c r="O14" s="411"/>
      <c r="P14" s="272"/>
      <c r="Q14" s="146">
        <f t="shared" si="3"/>
        <v>0</v>
      </c>
      <c r="R14" s="485">
        <f t="shared" si="4"/>
      </c>
      <c r="S14" s="415"/>
      <c r="T14" s="272"/>
      <c r="U14" s="146">
        <f t="shared" si="5"/>
        <v>0</v>
      </c>
      <c r="V14" s="146">
        <f t="shared" si="6"/>
        <v>0</v>
      </c>
      <c r="W14" s="146">
        <f t="shared" si="7"/>
        <v>0</v>
      </c>
      <c r="X14" s="445"/>
    </row>
    <row r="15" spans="1:24" ht="18.75" customHeight="1">
      <c r="A15" s="480">
        <v>8</v>
      </c>
      <c r="B15" s="15"/>
      <c r="C15" s="15"/>
      <c r="D15" s="18"/>
      <c r="E15" s="17"/>
      <c r="F15" s="417"/>
      <c r="G15" s="348">
        <f t="shared" si="0"/>
      </c>
      <c r="H15" s="142"/>
      <c r="I15" s="386">
        <f t="shared" si="1"/>
        <v>0</v>
      </c>
      <c r="J15" s="17"/>
      <c r="K15" s="417"/>
      <c r="L15" s="64"/>
      <c r="M15" s="160"/>
      <c r="N15" s="427">
        <f t="shared" si="2"/>
        <v>0</v>
      </c>
      <c r="O15" s="411"/>
      <c r="P15" s="272"/>
      <c r="Q15" s="146">
        <f t="shared" si="3"/>
        <v>0</v>
      </c>
      <c r="R15" s="485">
        <f t="shared" si="4"/>
      </c>
      <c r="S15" s="415"/>
      <c r="T15" s="272"/>
      <c r="U15" s="146">
        <f t="shared" si="5"/>
        <v>0</v>
      </c>
      <c r="V15" s="146">
        <f t="shared" si="6"/>
        <v>0</v>
      </c>
      <c r="W15" s="146">
        <f t="shared" si="7"/>
        <v>0</v>
      </c>
      <c r="X15" s="445"/>
    </row>
    <row r="16" spans="1:24" ht="18.75" customHeight="1">
      <c r="A16" s="480">
        <v>9</v>
      </c>
      <c r="B16" s="15"/>
      <c r="C16" s="15"/>
      <c r="D16" s="18"/>
      <c r="E16" s="17"/>
      <c r="F16" s="417"/>
      <c r="G16" s="348">
        <f t="shared" si="0"/>
      </c>
      <c r="H16" s="142"/>
      <c r="I16" s="386">
        <f t="shared" si="1"/>
        <v>0</v>
      </c>
      <c r="J16" s="17"/>
      <c r="K16" s="417"/>
      <c r="L16" s="64"/>
      <c r="M16" s="160"/>
      <c r="N16" s="427">
        <f t="shared" si="2"/>
        <v>0</v>
      </c>
      <c r="O16" s="411"/>
      <c r="P16" s="272"/>
      <c r="Q16" s="146">
        <f t="shared" si="3"/>
        <v>0</v>
      </c>
      <c r="R16" s="485">
        <f t="shared" si="4"/>
      </c>
      <c r="S16" s="415"/>
      <c r="T16" s="272"/>
      <c r="U16" s="146">
        <f t="shared" si="5"/>
        <v>0</v>
      </c>
      <c r="V16" s="146">
        <f t="shared" si="6"/>
        <v>0</v>
      </c>
      <c r="W16" s="146">
        <f t="shared" si="7"/>
        <v>0</v>
      </c>
      <c r="X16" s="445"/>
    </row>
    <row r="17" spans="1:24" ht="18.75" customHeight="1">
      <c r="A17" s="480">
        <v>10</v>
      </c>
      <c r="B17" s="15"/>
      <c r="C17" s="15"/>
      <c r="D17" s="18"/>
      <c r="E17" s="17"/>
      <c r="F17" s="417"/>
      <c r="G17" s="348">
        <f t="shared" si="0"/>
      </c>
      <c r="H17" s="142"/>
      <c r="I17" s="386">
        <f t="shared" si="1"/>
        <v>0</v>
      </c>
      <c r="J17" s="17"/>
      <c r="K17" s="417"/>
      <c r="L17" s="64"/>
      <c r="M17" s="160"/>
      <c r="N17" s="427">
        <f t="shared" si="2"/>
        <v>0</v>
      </c>
      <c r="O17" s="411"/>
      <c r="P17" s="272"/>
      <c r="Q17" s="146">
        <f t="shared" si="3"/>
        <v>0</v>
      </c>
      <c r="R17" s="485">
        <f t="shared" si="4"/>
      </c>
      <c r="S17" s="415"/>
      <c r="T17" s="272"/>
      <c r="U17" s="146">
        <f t="shared" si="5"/>
        <v>0</v>
      </c>
      <c r="V17" s="146">
        <f t="shared" si="6"/>
        <v>0</v>
      </c>
      <c r="W17" s="146">
        <f t="shared" si="7"/>
        <v>0</v>
      </c>
      <c r="X17" s="445"/>
    </row>
    <row r="18" spans="1:24" ht="18.75" customHeight="1">
      <c r="A18" s="480">
        <v>11</v>
      </c>
      <c r="B18" s="15"/>
      <c r="C18" s="15"/>
      <c r="D18" s="18"/>
      <c r="E18" s="17"/>
      <c r="F18" s="417"/>
      <c r="G18" s="348">
        <f t="shared" si="0"/>
      </c>
      <c r="H18" s="142"/>
      <c r="I18" s="386">
        <f t="shared" si="1"/>
        <v>0</v>
      </c>
      <c r="J18" s="17"/>
      <c r="K18" s="417"/>
      <c r="L18" s="64"/>
      <c r="M18" s="160"/>
      <c r="N18" s="427">
        <f t="shared" si="2"/>
        <v>0</v>
      </c>
      <c r="O18" s="411"/>
      <c r="P18" s="272"/>
      <c r="Q18" s="146">
        <f t="shared" si="3"/>
        <v>0</v>
      </c>
      <c r="R18" s="485">
        <f t="shared" si="4"/>
      </c>
      <c r="S18" s="415"/>
      <c r="T18" s="272"/>
      <c r="U18" s="146">
        <f t="shared" si="5"/>
        <v>0</v>
      </c>
      <c r="V18" s="146">
        <f t="shared" si="6"/>
        <v>0</v>
      </c>
      <c r="W18" s="146">
        <f t="shared" si="7"/>
        <v>0</v>
      </c>
      <c r="X18" s="445"/>
    </row>
    <row r="19" spans="1:24" ht="18.75" customHeight="1">
      <c r="A19" s="480">
        <v>12</v>
      </c>
      <c r="B19" s="15"/>
      <c r="C19" s="15"/>
      <c r="D19" s="18"/>
      <c r="E19" s="17"/>
      <c r="F19" s="417"/>
      <c r="G19" s="348">
        <f t="shared" si="0"/>
      </c>
      <c r="H19" s="142"/>
      <c r="I19" s="386">
        <f t="shared" si="1"/>
        <v>0</v>
      </c>
      <c r="J19" s="17"/>
      <c r="K19" s="417"/>
      <c r="L19" s="64"/>
      <c r="M19" s="160"/>
      <c r="N19" s="427">
        <f t="shared" si="2"/>
        <v>0</v>
      </c>
      <c r="O19" s="411"/>
      <c r="P19" s="272"/>
      <c r="Q19" s="146">
        <f t="shared" si="3"/>
        <v>0</v>
      </c>
      <c r="R19" s="485">
        <f t="shared" si="4"/>
      </c>
      <c r="S19" s="415"/>
      <c r="T19" s="272"/>
      <c r="U19" s="146">
        <f t="shared" si="5"/>
        <v>0</v>
      </c>
      <c r="V19" s="146">
        <f t="shared" si="6"/>
        <v>0</v>
      </c>
      <c r="W19" s="146">
        <f t="shared" si="7"/>
        <v>0</v>
      </c>
      <c r="X19" s="445"/>
    </row>
    <row r="20" spans="1:24" s="56" customFormat="1" ht="15" customHeight="1">
      <c r="A20" s="533" t="s">
        <v>18</v>
      </c>
      <c r="B20" s="595"/>
      <c r="C20" s="595"/>
      <c r="D20" s="594">
        <f>COUNTA(D8:D19)</f>
        <v>0</v>
      </c>
      <c r="E20" s="595"/>
      <c r="F20" s="595"/>
      <c r="G20" s="595"/>
      <c r="H20" s="595"/>
      <c r="I20" s="45" t="str">
        <f>"TOTALE "&amp;IF(riepilogo!scelta="I","PROCESSI","RICERCA")</f>
        <v>TOTALE RICERCA</v>
      </c>
      <c r="J20" s="156"/>
      <c r="K20" s="55">
        <f>IF($F$8=0,0,IF(riepilogo!scelta="I",SUMIF($L$8:$L$19,"P",K$8:K$19),SUMIF($L$8:$L$19,"R",K$8:K$19)))</f>
        <v>0</v>
      </c>
      <c r="L20" s="491"/>
      <c r="M20" s="55">
        <f>IF($F$8=0,0,IF(riepilogo!scelta="I",SUMIF($L$8:$L$19,"P",M$8:M$19),SUMIF($L$8:$L$19,"R",M$8:M$19)))</f>
        <v>0</v>
      </c>
      <c r="N20" s="406">
        <f>IF($F$8=0,0,IF(riepilogo!scelta="I",SUMIF($L$8:$L$19,"P",N$8:N$19),SUMIF($L$8:$L$19,"R",N$8:N$19)))</f>
        <v>0</v>
      </c>
      <c r="O20" s="597">
        <f>COUNTIF(O8:O19,"=x")</f>
        <v>0</v>
      </c>
      <c r="P20" s="605" t="e">
        <f>ROUNDDOWN((O20+O28)/(D20+H28),4)</f>
        <v>#DIV/0!</v>
      </c>
      <c r="Q20" s="55">
        <f>IF($F$8=0,0,IF(riepilogo!scelta="I",SUMIF($R$8:$R$19,"P",Q$8:Q$19),SUMIF($R$8:$R$19,"R",Q$8:Q$19)))</f>
        <v>0</v>
      </c>
      <c r="R20" s="487"/>
      <c r="S20" s="488"/>
      <c r="T20" s="486"/>
      <c r="U20" s="55">
        <f>IF($F$8=0,0,IF(riepilogo!scelta="I",SUMIF($R$8:$R$19,"P",U$8:U$19),SUMIF($R$8:$R$19,"R",U$8:U$19)))</f>
        <v>0</v>
      </c>
      <c r="V20" s="55">
        <f>IF($F$8=0,0,IF(riepilogo!scelta="I",SUMIF($R$8:$R$19,"P",V$8:V$19),SUMIF($R$8:$R$19,"R",V$8:V$19)))</f>
        <v>0</v>
      </c>
      <c r="W20" s="55">
        <f>IF($F$8=0,0,IF(riepilogo!scelta="I",SUMIF($R$8:$R$19,"P",W$8:W$19),SUMIF($R$8:$R$19,"R",W$8:W$19)))</f>
        <v>0</v>
      </c>
      <c r="X20" s="447"/>
    </row>
    <row r="21" spans="2:23" ht="15" customHeight="1">
      <c r="B21" s="596"/>
      <c r="C21" s="596"/>
      <c r="D21" s="596"/>
      <c r="E21" s="596"/>
      <c r="F21" s="596"/>
      <c r="G21" s="596"/>
      <c r="H21" s="596"/>
      <c r="I21" s="45" t="str">
        <f>"TOTALE "&amp;IF(riepilogo!scelta="I","ORGANIZZAZIONE","SVILUPPO")</f>
        <v>TOTALE SVILUPPO</v>
      </c>
      <c r="J21" s="139"/>
      <c r="K21" s="55">
        <f>IF($F$8=0,0,IF(riepilogo!scelta="I",SUMIF($L$8:$L$19,"O",K$8:K$19),SUMIF($L$8:$L$19,"S",K$8:K$19)))</f>
        <v>0</v>
      </c>
      <c r="L21" s="492"/>
      <c r="M21" s="55">
        <f>IF($F$8=0,0,IF(riepilogo!scelta="I",SUMIF($L$8:$L$19,"O",M$8:M$19),SUMIF($L$8:$L$19,"S",M$8:M$19)))</f>
        <v>0</v>
      </c>
      <c r="N21" s="55">
        <f>IF($F$8=0,0,IF(riepilogo!scelta="I",SUMIF($L$8:$L$19,"O",N$8:N$19),SUMIF($L$8:$L$19,"S",N$8:N$19)))</f>
        <v>0</v>
      </c>
      <c r="O21" s="410">
        <f>IF(AND(N20=0,N21=0),0,SUMIF(O8:O19,"x",N8:N19))</f>
        <v>0</v>
      </c>
      <c r="P21" s="605" t="e">
        <f>ROUNDDOWN((O21+O29)/(N22+N30),4)</f>
        <v>#DIV/0!</v>
      </c>
      <c r="Q21" s="55">
        <f>IF($F$8=0,0,IF(riepilogo!scelta="I",SUMIF($R$8:$R$19,"O",Q$8:Q$19),SUMIF($R$8:$R$19,"S",Q$8:Q$19)))</f>
        <v>0</v>
      </c>
      <c r="R21" s="170"/>
      <c r="S21" s="269">
        <f>IF(AND(Q20=0,Q21=0),0,SUMIF(S8:S19,"x",Q8:Q19))</f>
        <v>0</v>
      </c>
      <c r="T21" s="605" t="e">
        <f>ROUNDDOWN((S21+S29)/(Q22+Q30),4)</f>
        <v>#DIV/0!</v>
      </c>
      <c r="U21" s="55">
        <f>IF($F$8=0,0,IF(riepilogo!scelta="I",SUMIF($R$8:$R$19,"O",U$8:U$19),SUMIF($R$8:$R$19,"S",U$8:U$19)))</f>
        <v>0</v>
      </c>
      <c r="V21" s="55">
        <f>IF($F$8=0,0,IF(riepilogo!scelta="I",SUMIF($R$8:$R$19,"O",V$8:V$19),SUMIF($R$8:$R$19,"S",V$8:V$19)))</f>
        <v>0</v>
      </c>
      <c r="W21" s="55">
        <f>IF($F$8=0,0,IF(riepilogo!scelta="I",SUMIF($R$8:$R$19,"O",W$8:W$19),SUMIF($R$8:$R$19,"S",W$8:W$19)))</f>
        <v>0</v>
      </c>
    </row>
    <row r="22" spans="1:24" s="527" customFormat="1" ht="19.5" customHeight="1">
      <c r="A22" s="537"/>
      <c r="B22" s="46" t="s">
        <v>64</v>
      </c>
      <c r="C22" s="538"/>
      <c r="D22" s="535"/>
      <c r="E22" s="539"/>
      <c r="F22" s="539"/>
      <c r="G22" s="540"/>
      <c r="H22" s="539"/>
      <c r="I22" s="539"/>
      <c r="J22" s="539"/>
      <c r="K22" s="518">
        <f>SUM(K20:K21)</f>
        <v>0</v>
      </c>
      <c r="L22" s="524"/>
      <c r="M22" s="518">
        <f>SUM(M20:M21)</f>
        <v>0</v>
      </c>
      <c r="N22" s="518">
        <f>SUM(N20:N21)</f>
        <v>0</v>
      </c>
      <c r="O22" s="523"/>
      <c r="P22" s="48"/>
      <c r="Q22" s="518">
        <f>SUM(Q20:Q21)</f>
        <v>0</v>
      </c>
      <c r="R22" s="525"/>
      <c r="S22" s="525"/>
      <c r="T22" s="526"/>
      <c r="U22" s="518">
        <f>SUM(U20:U21)</f>
        <v>0</v>
      </c>
      <c r="V22" s="518">
        <f>SUM(V20:V21)</f>
        <v>0</v>
      </c>
      <c r="W22" s="518">
        <f>SUM(W20:W21)</f>
        <v>0</v>
      </c>
      <c r="X22" s="528"/>
    </row>
    <row r="23" spans="2:24" ht="11.25" customHeight="1">
      <c r="B23" s="687" t="s">
        <v>56</v>
      </c>
      <c r="C23" s="688"/>
      <c r="D23" s="688"/>
      <c r="E23" s="688"/>
      <c r="F23" s="689"/>
      <c r="G23" s="679" t="s">
        <v>65</v>
      </c>
      <c r="H23" s="679"/>
      <c r="I23" s="679"/>
      <c r="J23" s="679"/>
      <c r="K23" s="680" t="s">
        <v>60</v>
      </c>
      <c r="L23" s="680"/>
      <c r="M23" s="680"/>
      <c r="N23" s="680"/>
      <c r="O23" s="660" t="s">
        <v>99</v>
      </c>
      <c r="P23" s="666"/>
      <c r="Q23" s="662" t="s">
        <v>101</v>
      </c>
      <c r="R23" s="482"/>
      <c r="S23" s="664" t="s">
        <v>100</v>
      </c>
      <c r="T23" s="666"/>
      <c r="U23" s="617" t="s">
        <v>125</v>
      </c>
      <c r="V23" s="618"/>
      <c r="W23" s="642"/>
      <c r="X23" s="643" t="s">
        <v>59</v>
      </c>
    </row>
    <row r="24" spans="1:24" ht="31.5" customHeight="1">
      <c r="A24" s="478" t="s">
        <v>50</v>
      </c>
      <c r="B24" s="690"/>
      <c r="C24" s="691"/>
      <c r="D24" s="691"/>
      <c r="E24" s="691"/>
      <c r="F24" s="692"/>
      <c r="G24" s="44" t="s">
        <v>55</v>
      </c>
      <c r="H24" s="31" t="s">
        <v>57</v>
      </c>
      <c r="I24" s="161" t="s">
        <v>63</v>
      </c>
      <c r="J24" s="162" t="s">
        <v>73</v>
      </c>
      <c r="K24" s="43" t="s">
        <v>114</v>
      </c>
      <c r="L24" s="44" t="str">
        <f>IF(riepilogo!scelta="I"," P / O"," R / S")</f>
        <v> R / S</v>
      </c>
      <c r="M24" s="43" t="s">
        <v>82</v>
      </c>
      <c r="N24" s="388" t="s">
        <v>84</v>
      </c>
      <c r="O24" s="661"/>
      <c r="P24" s="666"/>
      <c r="Q24" s="663"/>
      <c r="R24" s="483" t="str">
        <f>L24</f>
        <v> R / S</v>
      </c>
      <c r="S24" s="665"/>
      <c r="T24" s="666"/>
      <c r="U24" s="259" t="s">
        <v>94</v>
      </c>
      <c r="V24" s="259" t="s">
        <v>82</v>
      </c>
      <c r="W24" s="259" t="s">
        <v>84</v>
      </c>
      <c r="X24" s="644"/>
    </row>
    <row r="25" spans="1:24" ht="18.75" customHeight="1">
      <c r="A25" s="480">
        <v>1</v>
      </c>
      <c r="B25" s="681"/>
      <c r="C25" s="682"/>
      <c r="D25" s="682"/>
      <c r="E25" s="682"/>
      <c r="F25" s="683"/>
      <c r="G25" s="348">
        <f>IF(H25&lt;&gt;"",A25&amp;"gp","")</f>
      </c>
      <c r="H25" s="17"/>
      <c r="I25" s="16"/>
      <c r="J25" s="16"/>
      <c r="K25" s="61">
        <f>I25*J25</f>
        <v>0</v>
      </c>
      <c r="L25" s="64"/>
      <c r="M25" s="160"/>
      <c r="N25" s="427">
        <f>IF(K25&lt;&gt;"",K25-M25,"")</f>
        <v>0</v>
      </c>
      <c r="O25" s="411"/>
      <c r="P25" s="272"/>
      <c r="Q25" s="146">
        <f>N25</f>
        <v>0</v>
      </c>
      <c r="R25" s="485">
        <f>IF(L25="","",L25)</f>
      </c>
      <c r="S25" s="415"/>
      <c r="T25" s="272"/>
      <c r="U25" s="146">
        <f>K25</f>
        <v>0</v>
      </c>
      <c r="V25" s="146">
        <f>M25</f>
        <v>0</v>
      </c>
      <c r="W25" s="146">
        <f>IF(U25&lt;&gt;"",U25-V25,"")</f>
        <v>0</v>
      </c>
      <c r="X25" s="445"/>
    </row>
    <row r="26" spans="1:24" ht="18.75" customHeight="1">
      <c r="A26" s="480">
        <v>2</v>
      </c>
      <c r="B26" s="681"/>
      <c r="C26" s="682"/>
      <c r="D26" s="682"/>
      <c r="E26" s="682"/>
      <c r="F26" s="683"/>
      <c r="G26" s="348">
        <f>IF(H26&lt;&gt;"",A26&amp;"gp","")</f>
      </c>
      <c r="H26" s="17"/>
      <c r="I26" s="16"/>
      <c r="J26" s="16"/>
      <c r="K26" s="61">
        <f>I26*J26</f>
        <v>0</v>
      </c>
      <c r="L26" s="64"/>
      <c r="M26" s="160"/>
      <c r="N26" s="427">
        <f>IF(K26&lt;&gt;"",K26-M26,"")</f>
        <v>0</v>
      </c>
      <c r="O26" s="411"/>
      <c r="P26" s="272"/>
      <c r="Q26" s="146">
        <f>N26</f>
        <v>0</v>
      </c>
      <c r="R26" s="485">
        <f>IF(L26="","",L26)</f>
      </c>
      <c r="S26" s="415"/>
      <c r="T26" s="272"/>
      <c r="U26" s="146">
        <f>K26</f>
        <v>0</v>
      </c>
      <c r="V26" s="146">
        <f>M26</f>
        <v>0</v>
      </c>
      <c r="W26" s="146">
        <f>IF(U26&lt;&gt;"",U26-V26,"")</f>
        <v>0</v>
      </c>
      <c r="X26" s="445"/>
    </row>
    <row r="27" spans="1:24" ht="18.75" customHeight="1">
      <c r="A27" s="480">
        <v>3</v>
      </c>
      <c r="B27" s="681"/>
      <c r="C27" s="682"/>
      <c r="D27" s="682"/>
      <c r="E27" s="682"/>
      <c r="F27" s="683"/>
      <c r="G27" s="348">
        <f>IF(H27&lt;&gt;"",A27&amp;"gp","")</f>
      </c>
      <c r="H27" s="17"/>
      <c r="I27" s="16"/>
      <c r="J27" s="16"/>
      <c r="K27" s="61">
        <f>I27*J27</f>
        <v>0</v>
      </c>
      <c r="L27" s="64"/>
      <c r="M27" s="160"/>
      <c r="N27" s="427">
        <f>IF(K27&lt;&gt;"",K27-M27,"")</f>
        <v>0</v>
      </c>
      <c r="O27" s="411"/>
      <c r="P27" s="272"/>
      <c r="Q27" s="146">
        <f>N27</f>
        <v>0</v>
      </c>
      <c r="R27" s="485">
        <f>IF(L27="","",L27)</f>
      </c>
      <c r="S27" s="415"/>
      <c r="T27" s="272"/>
      <c r="U27" s="146">
        <f>K27</f>
        <v>0</v>
      </c>
      <c r="V27" s="146">
        <f>M27</f>
        <v>0</v>
      </c>
      <c r="W27" s="146">
        <f>IF(U27&lt;&gt;"",U27-V27,"")</f>
        <v>0</v>
      </c>
      <c r="X27" s="445"/>
    </row>
    <row r="28" spans="1:24" s="56" customFormat="1" ht="15" customHeight="1">
      <c r="A28" s="533" t="s">
        <v>18</v>
      </c>
      <c r="B28" s="684" t="s">
        <v>162</v>
      </c>
      <c r="C28" s="685"/>
      <c r="D28" s="685"/>
      <c r="E28" s="685"/>
      <c r="F28" s="685"/>
      <c r="G28" s="354"/>
      <c r="H28" s="594">
        <f>COUNTA(H25:H27)</f>
        <v>0</v>
      </c>
      <c r="I28" s="45" t="str">
        <f>"TOTALE "&amp;IF(riepilogo!scelta="I","PROCESSI","RICERCA")</f>
        <v>TOTALE RICERCA</v>
      </c>
      <c r="J28" s="156"/>
      <c r="K28" s="55">
        <f>IF($J$25=0,0,IF(riepilogo!scelta="I",SUMIF($L$25:$L$27,"P",K$25:K$27),SUMIF($L$25:$L$27,"R",K$25:K$27)))</f>
        <v>0</v>
      </c>
      <c r="L28" s="491"/>
      <c r="M28" s="55">
        <f>IF($J$25=0,0,IF(riepilogo!scelta="I",SUMIF($L$25:$L$27,"P",M$25:M$27),SUMIF($L$25:$L$27,"R",M$25:M$27)))</f>
        <v>0</v>
      </c>
      <c r="N28" s="55">
        <f>IF($J$25=0,0,IF(riepilogo!scelta="I",SUMIF($L$25:$L$27,"P",N$25:N$27),SUMIF($L$25:$L$27,"R",N$25:N$27)))</f>
        <v>0</v>
      </c>
      <c r="O28" s="606">
        <f>COUNTIF(O25:O27,"=x")</f>
        <v>0</v>
      </c>
      <c r="P28" s="608" t="s">
        <v>179</v>
      </c>
      <c r="Q28" s="55">
        <f>IF($J$25=0,0,IF(riepilogo!scelta="I",SUMIF($R$25:$R$27,"P",Q$25:Q$27),SUMIF($R$25:$R$27,"R",Q$25:Q$27)))</f>
        <v>0</v>
      </c>
      <c r="R28" s="487"/>
      <c r="S28" s="490"/>
      <c r="T28" s="486"/>
      <c r="U28" s="55">
        <f>IF($J$25=0,0,IF(riepilogo!scelta="I",SUMIF($R$25:$R$27,"P",U$25:U$27),SUMIF($R$25:$R$27,"R",U$25:U$27)))</f>
        <v>0</v>
      </c>
      <c r="V28" s="55">
        <f>IF($J$25=0,0,IF(riepilogo!scelta="I",SUMIF($R$25:$R$27,"P",V$25:V$27),SUMIF($R$25:$R$27,"R",V$25:V$27)))</f>
        <v>0</v>
      </c>
      <c r="W28" s="55">
        <f>IF($J$25=0,0,IF(riepilogo!scelta="I",SUMIF($R$25:$R$27,"P",W$25:W$27),SUMIF($R$25:$R$27,"R",W$25:W$27)))</f>
        <v>0</v>
      </c>
      <c r="X28" s="447"/>
    </row>
    <row r="29" spans="1:24" s="56" customFormat="1" ht="15" customHeight="1">
      <c r="A29" s="480"/>
      <c r="B29" s="686"/>
      <c r="C29" s="686"/>
      <c r="D29" s="686"/>
      <c r="E29" s="686"/>
      <c r="F29" s="686"/>
      <c r="G29" s="354"/>
      <c r="H29" s="54"/>
      <c r="I29" s="45" t="str">
        <f>"TOTALE "&amp;IF(riepilogo!scelta="I","ORGANIZZAZIONE","SVILUPPO")</f>
        <v>TOTALE SVILUPPO</v>
      </c>
      <c r="J29" s="156"/>
      <c r="K29" s="55">
        <f>IF($J$25=0,0,IF(riepilogo!scelta="I",SUMIF($L$25:$L$27,"O",K$25:K$27),SUMIF($L$25:$L$27,"S",K$25:K$27)))</f>
        <v>0</v>
      </c>
      <c r="L29" s="492"/>
      <c r="M29" s="55">
        <f>IF($J$25=0,0,IF(riepilogo!scelta="I",SUMIF($L$25:$L$27,"O",M$25:M$27),SUMIF($L$25:$L$27,"S",M$25:M$27)))</f>
        <v>0</v>
      </c>
      <c r="N29" s="55">
        <f>IF($J$25=0,0,IF(riepilogo!scelta="I",SUMIF($L$25:$L$27,"O",N$25:N$27),SUMIF($L$25:$L$27,"S",N$25:N$27)))</f>
        <v>0</v>
      </c>
      <c r="O29" s="410">
        <f>IF(AND(N28=0,N29=0),0,SUMIF(O25:O27,"x",N25:N27))</f>
        <v>0</v>
      </c>
      <c r="P29" s="608" t="s">
        <v>179</v>
      </c>
      <c r="Q29" s="55">
        <f>IF($J$25=0,0,IF(riepilogo!scelta="I",SUMIF($R$25:$R$27,"O",Q$25:Q$27),SUMIF($R$25:$R$27,"S",Q$25:Q$27)))</f>
        <v>0</v>
      </c>
      <c r="R29" s="489"/>
      <c r="S29" s="269">
        <f>IF(AND(Q28=0,Q29=0),0,SUMIF(S25:S27,"x",Q25:Q27))</f>
        <v>0</v>
      </c>
      <c r="T29" s="608" t="s">
        <v>179</v>
      </c>
      <c r="U29" s="55">
        <f>IF($J$25=0,0,IF(riepilogo!scelta="I",SUMIF($R$25:$R$27,"O",U$25:U$27),SUMIF($R$25:$R$27,"S",U$25:U$27)))</f>
        <v>0</v>
      </c>
      <c r="V29" s="55">
        <f>IF($J$25=0,0,IF(riepilogo!scelta="I",SUMIF($R$25:$R$27,"O",V$25:V$27),SUMIF($R$25:$R$27,"S",V$25:V$27)))</f>
        <v>0</v>
      </c>
      <c r="W29" s="55">
        <f>IF($J$25=0,0,IF(riepilogo!scelta="I",SUMIF($R$25:$R$27,"O",W$25:W$27),SUMIF($R$25:$R$27,"S",W$25:W$27)))</f>
        <v>0</v>
      </c>
      <c r="X29" s="447"/>
    </row>
    <row r="30" spans="1:24" s="527" customFormat="1" ht="10.5">
      <c r="A30" s="537"/>
      <c r="D30" s="541"/>
      <c r="E30" s="542"/>
      <c r="G30" s="543"/>
      <c r="H30" s="544"/>
      <c r="I30" s="542"/>
      <c r="J30" s="545"/>
      <c r="K30" s="518">
        <f>SUM(K28:K29)</f>
        <v>0</v>
      </c>
      <c r="L30" s="524"/>
      <c r="M30" s="518">
        <f>SUM(M28:M29)</f>
        <v>0</v>
      </c>
      <c r="N30" s="518">
        <f>SUM(N28:N29)</f>
        <v>0</v>
      </c>
      <c r="O30" s="523"/>
      <c r="P30" s="525"/>
      <c r="Q30" s="518">
        <f>SUM(Q28:Q29)</f>
        <v>0</v>
      </c>
      <c r="R30" s="525"/>
      <c r="S30" s="525"/>
      <c r="T30" s="526"/>
      <c r="U30" s="518">
        <f>SUM(U28:U29)</f>
        <v>0</v>
      </c>
      <c r="V30" s="518">
        <f>SUM(V28:V29)</f>
        <v>0</v>
      </c>
      <c r="W30" s="518">
        <f>SUM(W28:W29)</f>
        <v>0</v>
      </c>
      <c r="X30" s="528"/>
    </row>
  </sheetData>
  <sheetProtection password="CC84" sheet="1" objects="1" scenarios="1" formatColumns="0" formatRows="0"/>
  <mergeCells count="26">
    <mergeCell ref="T6:T7"/>
    <mergeCell ref="P23:P24"/>
    <mergeCell ref="T23:T24"/>
    <mergeCell ref="B28:F29"/>
    <mergeCell ref="B6:B7"/>
    <mergeCell ref="D6:F6"/>
    <mergeCell ref="C6:C7"/>
    <mergeCell ref="B23:F24"/>
    <mergeCell ref="B25:F25"/>
    <mergeCell ref="B26:F26"/>
    <mergeCell ref="B27:F27"/>
    <mergeCell ref="S6:S7"/>
    <mergeCell ref="Q23:Q24"/>
    <mergeCell ref="O23:O24"/>
    <mergeCell ref="S23:S24"/>
    <mergeCell ref="P6:P7"/>
    <mergeCell ref="U23:W23"/>
    <mergeCell ref="X23:X24"/>
    <mergeCell ref="G23:J23"/>
    <mergeCell ref="K6:N6"/>
    <mergeCell ref="X6:X7"/>
    <mergeCell ref="U6:W6"/>
    <mergeCell ref="O6:O7"/>
    <mergeCell ref="Q6:Q7"/>
    <mergeCell ref="G6:J6"/>
    <mergeCell ref="K23:N23"/>
  </mergeCells>
  <conditionalFormatting sqref="S25:S27 S8:S19">
    <cfRule type="cellIs" priority="1" dxfId="2" operator="notEqual" stopIfTrue="1">
      <formula>O8</formula>
    </cfRule>
  </conditionalFormatting>
  <conditionalFormatting sqref="H25:H27 E8:E19">
    <cfRule type="cellIs" priority="2" dxfId="2" operator="lessThan" stopIfTrue="1">
      <formula>$D$1</formula>
    </cfRule>
    <cfRule type="cellIs" priority="3" dxfId="2" operator="greaterThan" stopIfTrue="1">
      <formula>$D$2</formula>
    </cfRule>
  </conditionalFormatting>
  <conditionalFormatting sqref="L25:L27 L8:L19">
    <cfRule type="cellIs" priority="4" dxfId="0" operator="equal" stopIfTrue="1">
      <formula>"S"</formula>
    </cfRule>
    <cfRule type="cellIs" priority="5" dxfId="1" operator="equal" stopIfTrue="1">
      <formula>"O"</formula>
    </cfRule>
  </conditionalFormatting>
  <dataValidations count="1">
    <dataValidation type="list" allowBlank="1" showInputMessage="1" showErrorMessage="1" sqref="H8:H19">
      <formula1>tipopagamento</formula1>
    </dataValidation>
  </dataValidations>
  <printOptions/>
  <pageMargins left="0.1968503937007874" right="0.15748031496062992" top="0.3937007874015748" bottom="0.3937007874015748" header="0.31496062992125984" footer="0.3937007874015748"/>
  <pageSetup fitToHeight="100" fitToWidth="1" horizontalDpi="600" verticalDpi="600" orientation="landscape" paperSize="9" r:id="rId1"/>
  <headerFooter alignWithMargins="0">
    <oddFooter>&amp;R&amp;"Verdana,Normale"&amp;8&amp;P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Dipendente regionale</cp:lastModifiedBy>
  <cp:lastPrinted>2012-06-04T08:15:56Z</cp:lastPrinted>
  <dcterms:created xsi:type="dcterms:W3CDTF">2007-09-10T13:54:08Z</dcterms:created>
  <dcterms:modified xsi:type="dcterms:W3CDTF">2013-10-15T14:45:27Z</dcterms:modified>
  <cp:category/>
  <cp:version/>
  <cp:contentType/>
  <cp:contentStatus/>
</cp:coreProperties>
</file>